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.pugaeva\Desktop\АРХИВ\Южные паруса 2022\Ленинский 77-2\"/>
    </mc:Choice>
  </mc:AlternateContent>
  <bookViews>
    <workbookView xWindow="0" yWindow="0" windowWidth="23040" windowHeight="7752" activeTab="2"/>
  </bookViews>
  <sheets>
    <sheet name="Тарифы для ОСС_жилые_75-1" sheetId="1" r:id="rId1"/>
    <sheet name="Тарифы для ОСС_жилые_77-1" sheetId="2" r:id="rId2"/>
    <sheet name="Тарифы для ОСС_жилые_77-2" sheetId="3" r:id="rId3"/>
    <sheet name="Тарифы для ОСС_нежилые" sheetId="4" r:id="rId4"/>
    <sheet name="Разъяснения" sheetId="6" r:id="rId5"/>
    <sheet name="Лифты_расходы" sheetId="7" r:id="rId6"/>
  </sheets>
  <definedNames>
    <definedName name="\эвфзкудк" hidden="1">#REF!</definedName>
    <definedName name="_1" localSheetId="1" hidden="1">#REF!</definedName>
    <definedName name="_1" localSheetId="2" hidden="1">#REF!</definedName>
    <definedName name="_1" hidden="1">#REF!</definedName>
    <definedName name="csDesignMode">1</definedName>
    <definedName name="EUR_C" localSheetId="5">#REF!</definedName>
    <definedName name="EUR_C" localSheetId="4">#REF!</definedName>
    <definedName name="EUR_C" localSheetId="1">#REF!</definedName>
    <definedName name="EUR_C" localSheetId="2">#REF!</definedName>
    <definedName name="EUR_C">#REF!</definedName>
    <definedName name="EUR_O" localSheetId="5">#REF!</definedName>
    <definedName name="EUR_O" localSheetId="4">#REF!</definedName>
    <definedName name="EUR_O" localSheetId="1">#REF!</definedName>
    <definedName name="EUR_O" localSheetId="2">#REF!</definedName>
    <definedName name="EUR_O">#REF!</definedName>
    <definedName name="Excel_BuiltIn_Print_Area" localSheetId="5">#REF!</definedName>
    <definedName name="Excel_BuiltIn_Print_Area" localSheetId="4">#REF!</definedName>
    <definedName name="Excel_BuiltIn_Print_Area" localSheetId="1">#REF!</definedName>
    <definedName name="Excel_BuiltIn_Print_Area" localSheetId="2">#REF!</definedName>
    <definedName name="Excel_BuiltIn_Print_Area">#REF!</definedName>
    <definedName name="f" localSheetId="4" hidden="1">#REF!</definedName>
    <definedName name="f" localSheetId="0" hidden="1">#REF!</definedName>
    <definedName name="f" localSheetId="1" hidden="1">#REF!</definedName>
    <definedName name="f" localSheetId="2" hidden="1">#REF!</definedName>
    <definedName name="f" localSheetId="3" hidden="1">#REF!</definedName>
    <definedName name="f" hidden="1">#REF!</definedName>
    <definedName name="limcount" hidden="1">1</definedName>
    <definedName name="Print_Area">#REF!</definedName>
    <definedName name="USD_C" localSheetId="5">#REF!</definedName>
    <definedName name="USD_C" localSheetId="4">#REF!</definedName>
    <definedName name="USD_C" localSheetId="1">#REF!</definedName>
    <definedName name="USD_C" localSheetId="2">#REF!</definedName>
    <definedName name="USD_C">#REF!</definedName>
    <definedName name="USD_O" localSheetId="5">#REF!</definedName>
    <definedName name="USD_O" localSheetId="4">#REF!</definedName>
    <definedName name="USD_O" localSheetId="1">#REF!</definedName>
    <definedName name="USD_O" localSheetId="2">#REF!</definedName>
    <definedName name="USD_O">#REF!</definedName>
    <definedName name="Z_0885457D_12CF_4923_864D_998BA35CE01D_.wvu.Cols" localSheetId="4" hidden="1">#REF!</definedName>
    <definedName name="Z_0885457D_12CF_4923_864D_998BA35CE01D_.wvu.Cols" localSheetId="0" hidden="1">#REF!</definedName>
    <definedName name="Z_0885457D_12CF_4923_864D_998BA35CE01D_.wvu.Cols" localSheetId="1" hidden="1">#REF!</definedName>
    <definedName name="Z_0885457D_12CF_4923_864D_998BA35CE01D_.wvu.Cols" localSheetId="2" hidden="1">#REF!</definedName>
    <definedName name="Z_0885457D_12CF_4923_864D_998BA35CE01D_.wvu.Cols" localSheetId="3" hidden="1">#REF!</definedName>
    <definedName name="Z_0885457D_12CF_4923_864D_998BA35CE01D_.wvu.Cols" hidden="1">#REF!</definedName>
    <definedName name="Z_0885457D_12CF_4923_864D_998BA35CE01D_.wvu.Rows" localSheetId="4" hidden="1">#REF!</definedName>
    <definedName name="Z_0885457D_12CF_4923_864D_998BA35CE01D_.wvu.Rows" localSheetId="0" hidden="1">#REF!</definedName>
    <definedName name="Z_0885457D_12CF_4923_864D_998BA35CE01D_.wvu.Rows" localSheetId="1" hidden="1">#REF!</definedName>
    <definedName name="Z_0885457D_12CF_4923_864D_998BA35CE01D_.wvu.Rows" localSheetId="2" hidden="1">#REF!</definedName>
    <definedName name="Z_0885457D_12CF_4923_864D_998BA35CE01D_.wvu.Rows" localSheetId="3" hidden="1">#REF!</definedName>
    <definedName name="Z_0885457D_12CF_4923_864D_998BA35CE01D_.wvu.Rows" hidden="1">#REF!</definedName>
    <definedName name="Z_0885457D_12CF_4923_864D_998BA35CE01D__wvu_Cols" localSheetId="5">(#REF!,#REF!)</definedName>
    <definedName name="Z_0885457D_12CF_4923_864D_998BA35CE01D__wvu_Cols" localSheetId="4">(#REF!,#REF!)</definedName>
    <definedName name="Z_0885457D_12CF_4923_864D_998BA35CE01D__wvu_Cols" localSheetId="1">(#REF!,#REF!)</definedName>
    <definedName name="Z_0885457D_12CF_4923_864D_998BA35CE01D__wvu_Cols" localSheetId="2">(#REF!,#REF!)</definedName>
    <definedName name="Z_0885457D_12CF_4923_864D_998BA35CE01D__wvu_Cols">(#REF!,#REF!)</definedName>
    <definedName name="Z_0885457D_12CF_4923_864D_998BA35CE01D__wvu_Rows" localSheetId="5">(#REF!,#REF!,#REF!)</definedName>
    <definedName name="Z_0885457D_12CF_4923_864D_998BA35CE01D__wvu_Rows" localSheetId="4">(#REF!,#REF!,#REF!)</definedName>
    <definedName name="Z_0885457D_12CF_4923_864D_998BA35CE01D__wvu_Rows" localSheetId="1">(#REF!,#REF!,#REF!)</definedName>
    <definedName name="Z_0885457D_12CF_4923_864D_998BA35CE01D__wvu_Rows" localSheetId="2">(#REF!,#REF!,#REF!)</definedName>
    <definedName name="Z_0885457D_12CF_4923_864D_998BA35CE01D__wvu_Rows">(#REF!,#REF!,#REF!)</definedName>
    <definedName name="Z_144EA558_4B8B_4239_858D_3D3B320E64FA_.wvu.Cols" localSheetId="4" hidden="1">#REF!</definedName>
    <definedName name="Z_144EA558_4B8B_4239_858D_3D3B320E64FA_.wvu.Cols" localSheetId="0" hidden="1">#REF!</definedName>
    <definedName name="Z_144EA558_4B8B_4239_858D_3D3B320E64FA_.wvu.Cols" localSheetId="1" hidden="1">#REF!</definedName>
    <definedName name="Z_144EA558_4B8B_4239_858D_3D3B320E64FA_.wvu.Cols" localSheetId="2" hidden="1">#REF!</definedName>
    <definedName name="Z_144EA558_4B8B_4239_858D_3D3B320E64FA_.wvu.Cols" localSheetId="3" hidden="1">#REF!</definedName>
    <definedName name="Z_144EA558_4B8B_4239_858D_3D3B320E64FA_.wvu.Cols" hidden="1">#REF!</definedName>
    <definedName name="Z_144EA558_4B8B_4239_858D_3D3B320E64FA_.wvu.PrintArea" localSheetId="4" hidden="1">#REF!</definedName>
    <definedName name="Z_144EA558_4B8B_4239_858D_3D3B320E64FA_.wvu.PrintArea" localSheetId="0" hidden="1">#REF!</definedName>
    <definedName name="Z_144EA558_4B8B_4239_858D_3D3B320E64FA_.wvu.PrintArea" localSheetId="1" hidden="1">#REF!</definedName>
    <definedName name="Z_144EA558_4B8B_4239_858D_3D3B320E64FA_.wvu.PrintArea" localSheetId="2" hidden="1">#REF!</definedName>
    <definedName name="Z_144EA558_4B8B_4239_858D_3D3B320E64FA_.wvu.PrintArea" localSheetId="3" hidden="1">#REF!</definedName>
    <definedName name="Z_144EA558_4B8B_4239_858D_3D3B320E64FA_.wvu.PrintArea" hidden="1">#REF!</definedName>
    <definedName name="Z_144EA558_4B8B_4239_858D_3D3B320E64FA__wvu_Cols" localSheetId="5">(#REF!,#REF!)</definedName>
    <definedName name="Z_144EA558_4B8B_4239_858D_3D3B320E64FA__wvu_Cols" localSheetId="4">(#REF!,#REF!)</definedName>
    <definedName name="Z_144EA558_4B8B_4239_858D_3D3B320E64FA__wvu_Cols" localSheetId="1">(#REF!,#REF!)</definedName>
    <definedName name="Z_144EA558_4B8B_4239_858D_3D3B320E64FA__wvu_Cols" localSheetId="2">(#REF!,#REF!)</definedName>
    <definedName name="Z_144EA558_4B8B_4239_858D_3D3B320E64FA__wvu_Cols">(#REF!,#REF!)</definedName>
    <definedName name="Z_144EA558_4B8B_4239_858D_3D3B320E64FA__wvu_PrintArea" localSheetId="5">#REF!</definedName>
    <definedName name="Z_144EA558_4B8B_4239_858D_3D3B320E64FA__wvu_PrintArea" localSheetId="4">#REF!</definedName>
    <definedName name="Z_144EA558_4B8B_4239_858D_3D3B320E64FA__wvu_PrintArea" localSheetId="1">#REF!</definedName>
    <definedName name="Z_144EA558_4B8B_4239_858D_3D3B320E64FA__wvu_PrintArea" localSheetId="2">#REF!</definedName>
    <definedName name="Z_144EA558_4B8B_4239_858D_3D3B320E64FA__wvu_PrintArea">#REF!</definedName>
    <definedName name="Z_2D3F4D39_1D20_491A_8BE9_2F4C8E41EE2A_.wvu.Cols" localSheetId="4" hidden="1">#REF!</definedName>
    <definedName name="Z_2D3F4D39_1D20_491A_8BE9_2F4C8E41EE2A_.wvu.Cols" localSheetId="0" hidden="1">#REF!</definedName>
    <definedName name="Z_2D3F4D39_1D20_491A_8BE9_2F4C8E41EE2A_.wvu.Cols" localSheetId="1" hidden="1">#REF!</definedName>
    <definedName name="Z_2D3F4D39_1D20_491A_8BE9_2F4C8E41EE2A_.wvu.Cols" localSheetId="2" hidden="1">#REF!</definedName>
    <definedName name="Z_2D3F4D39_1D20_491A_8BE9_2F4C8E41EE2A_.wvu.Cols" localSheetId="3" hidden="1">#REF!</definedName>
    <definedName name="Z_2D3F4D39_1D20_491A_8BE9_2F4C8E41EE2A_.wvu.Cols" hidden="1">#REF!</definedName>
    <definedName name="Z_2D3F4D39_1D20_491A_8BE9_2F4C8E41EE2A__wvu_Cols" localSheetId="5">#REF!</definedName>
    <definedName name="Z_2D3F4D39_1D20_491A_8BE9_2F4C8E41EE2A__wvu_Cols" localSheetId="4">#REF!</definedName>
    <definedName name="Z_2D3F4D39_1D20_491A_8BE9_2F4C8E41EE2A__wvu_Cols" localSheetId="1">#REF!</definedName>
    <definedName name="Z_2D3F4D39_1D20_491A_8BE9_2F4C8E41EE2A__wvu_Cols" localSheetId="2">#REF!</definedName>
    <definedName name="Z_2D3F4D39_1D20_491A_8BE9_2F4C8E41EE2A__wvu_Cols">#REF!</definedName>
    <definedName name="ZSER" localSheetId="5" hidden="1">#REF!</definedName>
    <definedName name="ZSER" localSheetId="4" hidden="1">#REF!</definedName>
    <definedName name="ZSER" localSheetId="1" hidden="1">#REF!</definedName>
    <definedName name="ZSER" localSheetId="2" hidden="1">#REF!</definedName>
    <definedName name="ZSER" hidden="1">#REF!</definedName>
    <definedName name="А08" hidden="1">#REF!</definedName>
    <definedName name="аа" localSheetId="5">#REF!</definedName>
    <definedName name="аа" localSheetId="4">#REF!</definedName>
    <definedName name="аа" localSheetId="1">#REF!</definedName>
    <definedName name="аа" localSheetId="2">#REF!</definedName>
    <definedName name="аа">#REF!</definedName>
    <definedName name="ааа">#REF!</definedName>
    <definedName name="авг" hidden="1">#REF!</definedName>
    <definedName name="Август" localSheetId="4" hidden="1">#REF!</definedName>
    <definedName name="Август" localSheetId="0" hidden="1">#REF!</definedName>
    <definedName name="Август" localSheetId="1" hidden="1">#REF!</definedName>
    <definedName name="Август" localSheetId="2" hidden="1">#REF!</definedName>
    <definedName name="Август" localSheetId="3" hidden="1">#REF!</definedName>
    <definedName name="Август" hidden="1">#REF!</definedName>
    <definedName name="август13" hidden="1">#REF!</definedName>
    <definedName name="август2013">#REF!</definedName>
    <definedName name="ае6н6" hidden="1">#REF!</definedName>
    <definedName name="аклело" hidden="1">#REF!</definedName>
    <definedName name="апяавп" hidden="1">#REF!</definedName>
    <definedName name="АУП_01" localSheetId="5">#REF!</definedName>
    <definedName name="АУП_01" localSheetId="4">#REF!</definedName>
    <definedName name="АУП_01" localSheetId="1">#REF!</definedName>
    <definedName name="АУП_01" localSheetId="2">#REF!</definedName>
    <definedName name="АУП_01">#REF!</definedName>
    <definedName name="БДР_12" localSheetId="5" hidden="1">#REF!</definedName>
    <definedName name="БДР_12" localSheetId="4" hidden="1">#REF!</definedName>
    <definedName name="БДР_12" localSheetId="1" hidden="1">#REF!</definedName>
    <definedName name="БДР_12" localSheetId="2" hidden="1">#REF!</definedName>
    <definedName name="БДР_12" hidden="1">#REF!</definedName>
    <definedName name="БДР_2011" localSheetId="5">#REF!</definedName>
    <definedName name="БДР_2011" localSheetId="4">#REF!</definedName>
    <definedName name="БДР_2011" localSheetId="1">#REF!</definedName>
    <definedName name="БДР_2011" localSheetId="2">#REF!</definedName>
    <definedName name="БДР_2011">#REF!</definedName>
    <definedName name="ваперл" hidden="1">#REF!</definedName>
    <definedName name="варш" localSheetId="5">#REF!</definedName>
    <definedName name="варш" localSheetId="1">#REF!</definedName>
    <definedName name="варш" localSheetId="2">#REF!</definedName>
    <definedName name="варш">#REF!</definedName>
    <definedName name="впива">#REF!</definedName>
    <definedName name="газ" localSheetId="5">#REF!</definedName>
    <definedName name="газ" localSheetId="4">#REF!</definedName>
    <definedName name="газ" localSheetId="1">#REF!</definedName>
    <definedName name="газ" localSheetId="2">#REF!</definedName>
    <definedName name="газ">#REF!</definedName>
    <definedName name="Евро" localSheetId="4">#NAME?</definedName>
    <definedName name="Евро" localSheetId="1">#NAME?</definedName>
    <definedName name="Евро" localSheetId="2">#NAME?</definedName>
    <definedName name="Евро">#NAME?</definedName>
    <definedName name="еееееее" localSheetId="5" hidden="1">#REF!</definedName>
    <definedName name="еееееее" localSheetId="4" hidden="1">#REF!</definedName>
    <definedName name="еееееее" localSheetId="1" hidden="1">#REF!</definedName>
    <definedName name="еееееее" localSheetId="2" hidden="1">#REF!</definedName>
    <definedName name="еееееее" hidden="1">#REF!</definedName>
    <definedName name="ено">#REF!</definedName>
    <definedName name="еуек" hidden="1">#REF!</definedName>
    <definedName name="ж58545" localSheetId="5">#REF!</definedName>
    <definedName name="ж58545" localSheetId="4">#REF!</definedName>
    <definedName name="ж58545" localSheetId="1">#REF!</definedName>
    <definedName name="ж58545" localSheetId="2">#REF!</definedName>
    <definedName name="ж58545">#REF!</definedName>
    <definedName name="жадпо" hidden="1">#REF!</definedName>
    <definedName name="жз" hidden="1">#REF!</definedName>
    <definedName name="има" hidden="1">#REF!</definedName>
    <definedName name="Иностранцы" localSheetId="5" hidden="1">#REF!</definedName>
    <definedName name="Иностранцы" localSheetId="4" hidden="1">#REF!</definedName>
    <definedName name="Иностранцы" localSheetId="1" hidden="1">#REF!</definedName>
    <definedName name="Иностранцы" localSheetId="2" hidden="1">#REF!</definedName>
    <definedName name="Иностранцы" hidden="1">#REF!</definedName>
    <definedName name="ипрне">#REF!</definedName>
    <definedName name="ЙЦУц" hidden="1">#REF!</definedName>
    <definedName name="ккк" localSheetId="5">#REF!</definedName>
    <definedName name="ккк" localSheetId="4">#REF!</definedName>
    <definedName name="ккк" localSheetId="1">#REF!</definedName>
    <definedName name="ккк" localSheetId="2">#REF!</definedName>
    <definedName name="ккк">#REF!</definedName>
    <definedName name="лазурное" localSheetId="4">#REF!</definedName>
    <definedName name="лазурное" localSheetId="0">#REF!</definedName>
    <definedName name="лазурное" localSheetId="1">#REF!</definedName>
    <definedName name="лазурное" localSheetId="2">#REF!</definedName>
    <definedName name="лазурное" localSheetId="3">#REF!</definedName>
    <definedName name="лазурное">#REF!</definedName>
    <definedName name="лллл" hidden="1">#REF!</definedName>
    <definedName name="лог">#REF!</definedName>
    <definedName name="МАЙ" localSheetId="5">#REF!</definedName>
    <definedName name="МАЙ" localSheetId="4">#REF!</definedName>
    <definedName name="МАЙ" localSheetId="1">#REF!</definedName>
    <definedName name="МАЙ" localSheetId="2">#REF!</definedName>
    <definedName name="МАЙ">#REF!</definedName>
    <definedName name="мир" localSheetId="4">#REF!</definedName>
    <definedName name="мир" localSheetId="0">#REF!</definedName>
    <definedName name="мир" localSheetId="1">#REF!</definedName>
    <definedName name="мир" localSheetId="2">#REF!</definedName>
    <definedName name="мир" localSheetId="3">#REF!</definedName>
    <definedName name="мир">#REF!</definedName>
    <definedName name="монблан" localSheetId="4" hidden="1">#REF!</definedName>
    <definedName name="монблан" localSheetId="0" hidden="1">#REF!</definedName>
    <definedName name="монблан" localSheetId="1" hidden="1">#REF!</definedName>
    <definedName name="монблан" localSheetId="2" hidden="1">#REF!</definedName>
    <definedName name="монблан" localSheetId="3" hidden="1">#REF!</definedName>
    <definedName name="монблан" hidden="1">#REF!</definedName>
    <definedName name="НДС" localSheetId="5">#REF!</definedName>
    <definedName name="НДС" localSheetId="4">#REF!</definedName>
    <definedName name="НДС" localSheetId="1">#REF!</definedName>
    <definedName name="НДС" localSheetId="2">#REF!</definedName>
    <definedName name="НДС">#REF!</definedName>
    <definedName name="новый" localSheetId="5" hidden="1">#REF!</definedName>
    <definedName name="новый" localSheetId="4" hidden="1">#REF!</definedName>
    <definedName name="новый" localSheetId="1" hidden="1">#REF!</definedName>
    <definedName name="новый" localSheetId="2" hidden="1">#REF!</definedName>
    <definedName name="новый" hidden="1">#REF!</definedName>
    <definedName name="о" hidden="1">#REF!</definedName>
    <definedName name="оаош">#REF!</definedName>
    <definedName name="_xlnm.Print_Area" localSheetId="5">#REF!</definedName>
    <definedName name="_xlnm.Print_Area" localSheetId="4">#REF!</definedName>
    <definedName name="_xlnm.Print_Area" localSheetId="0">'Тарифы для ОСС_жилые_75-1'!$A$1:$F$28</definedName>
    <definedName name="_xlnm.Print_Area" localSheetId="1">'Тарифы для ОСС_жилые_77-1'!$A$1:$F$28</definedName>
    <definedName name="_xlnm.Print_Area" localSheetId="2">'Тарифы для ОСС_жилые_77-2'!$A$1:$F$28</definedName>
    <definedName name="_xlnm.Print_Area" localSheetId="3">'Тарифы для ОСС_нежилые'!$B$1:$G$25</definedName>
    <definedName name="объектымай" localSheetId="5" hidden="1">#REF!</definedName>
    <definedName name="объектымай" localSheetId="4" hidden="1">#REF!</definedName>
    <definedName name="объектымай" localSheetId="1" hidden="1">#REF!</definedName>
    <definedName name="объектымай" localSheetId="2" hidden="1">#REF!</definedName>
    <definedName name="объектымай" hidden="1">#REF!</definedName>
    <definedName name="ооргшн" hidden="1">#REF!</definedName>
    <definedName name="орш8789" hidden="1">#REF!</definedName>
    <definedName name="пмарплго" localSheetId="5" hidden="1">#REF!</definedName>
    <definedName name="пмарплго" localSheetId="4" hidden="1">#REF!</definedName>
    <definedName name="пмарплго" localSheetId="1" hidden="1">#REF!</definedName>
    <definedName name="пмарплго" localSheetId="2" hidden="1">#REF!</definedName>
    <definedName name="пмарплго" hidden="1">#REF!</definedName>
    <definedName name="порт" hidden="1">#REF!</definedName>
    <definedName name="ппп" localSheetId="5">#REF!</definedName>
    <definedName name="ппп" localSheetId="4">#REF!</definedName>
    <definedName name="ппп" localSheetId="0">#REF!</definedName>
    <definedName name="ппп" localSheetId="1">#REF!</definedName>
    <definedName name="ппп" localSheetId="2">#REF!</definedName>
    <definedName name="ппп" localSheetId="3">#REF!</definedName>
    <definedName name="ппп">#REF!</definedName>
    <definedName name="пр" localSheetId="5" hidden="1">#REF!</definedName>
    <definedName name="пр" localSheetId="4" hidden="1">#REF!</definedName>
    <definedName name="пр" localSheetId="1" hidden="1">#REF!</definedName>
    <definedName name="пр" localSheetId="2" hidden="1">#REF!</definedName>
    <definedName name="пр" hidden="1">#REF!</definedName>
    <definedName name="пулковская">#REF!</definedName>
    <definedName name="рол" hidden="1">#REF!</definedName>
    <definedName name="ролд" hidden="1">#REF!</definedName>
    <definedName name="ррррр" localSheetId="5" hidden="1">#REF!</definedName>
    <definedName name="ррррр" localSheetId="4" hidden="1">#REF!</definedName>
    <definedName name="ррррр" localSheetId="1" hidden="1">#REF!</definedName>
    <definedName name="ррррр" localSheetId="2" hidden="1">#REF!</definedName>
    <definedName name="ррррр" hidden="1">#REF!</definedName>
    <definedName name="срочные" localSheetId="4">#NAME?</definedName>
    <definedName name="срочные" localSheetId="1">#NAME?</definedName>
    <definedName name="срочные" localSheetId="2">#NAME?</definedName>
    <definedName name="срочные">#NAME?</definedName>
    <definedName name="тося" localSheetId="5">#REF!</definedName>
    <definedName name="тося" localSheetId="4">#REF!</definedName>
    <definedName name="тося" localSheetId="1">#REF!</definedName>
    <definedName name="тося" localSheetId="2">#REF!</definedName>
    <definedName name="тося">#REF!</definedName>
    <definedName name="ф" localSheetId="5">#REF!</definedName>
    <definedName name="ф" localSheetId="4">#REF!</definedName>
    <definedName name="ф" localSheetId="1">#REF!</definedName>
    <definedName name="ф" localSheetId="2">#REF!</definedName>
    <definedName name="ф">#REF!</definedName>
    <definedName name="ФОТобъектымай" localSheetId="5" hidden="1">#REF!</definedName>
    <definedName name="ФОТобъектымай" localSheetId="4" hidden="1">#REF!</definedName>
    <definedName name="ФОТобъектымай" localSheetId="1" hidden="1">#REF!</definedName>
    <definedName name="ФОТобъектымай" localSheetId="2" hidden="1">#REF!</definedName>
    <definedName name="ФОТобъектымай" hidden="1">#REF!</definedName>
    <definedName name="фуыку" hidden="1">#REF!</definedName>
    <definedName name="фя\кк" hidden="1">#REF!</definedName>
    <definedName name="х_265" localSheetId="4" hidden="1">#REF!</definedName>
    <definedName name="х_265" localSheetId="0" hidden="1">#REF!</definedName>
    <definedName name="х_265" localSheetId="1" hidden="1">#REF!</definedName>
    <definedName name="х_265" localSheetId="2" hidden="1">#REF!</definedName>
    <definedName name="х_265" localSheetId="3" hidden="1">#REF!</definedName>
    <definedName name="х_265" hidden="1">#REF!</definedName>
    <definedName name="хзщзш" hidden="1">#REF!</definedName>
    <definedName name="цквв">#REF!</definedName>
    <definedName name="щзэ" hidden="1">#REF!</definedName>
    <definedName name="эжзд">#REF!</definedName>
    <definedName name="юз" localSheetId="4" hidden="1">#REF!</definedName>
    <definedName name="юз" localSheetId="0" hidden="1">#REF!</definedName>
    <definedName name="юз" localSheetId="1" hidden="1">#REF!</definedName>
    <definedName name="юз" localSheetId="2" hidden="1">#REF!</definedName>
    <definedName name="юз" localSheetId="3" hidden="1">#REF!</definedName>
    <definedName name="юз" hidden="1">#REF!</definedName>
    <definedName name="ЮЗ13" localSheetId="5" hidden="1">#REF!</definedName>
    <definedName name="ЮЗ13" localSheetId="4" hidden="1">#REF!</definedName>
    <definedName name="ЮЗ13" localSheetId="1" hidden="1">#REF!</definedName>
    <definedName name="ЮЗ13" localSheetId="2" hidden="1">#REF!</definedName>
    <definedName name="ЮЗ13" hidden="1">#REF!</definedName>
    <definedName name="ююююююююююююю" localSheetId="5">#REF!</definedName>
    <definedName name="ююююююююююююю" localSheetId="4">#REF!</definedName>
    <definedName name="ююююююююююююю" localSheetId="1">#REF!</definedName>
    <definedName name="ююююююююююююю" localSheetId="2">#REF!</definedName>
    <definedName name="ююююююююююююю">#REF!</definedName>
    <definedName name="ЯНВАРЬ" hidden="1">#REF!</definedName>
  </definedNames>
  <calcPr calcId="162913"/>
</workbook>
</file>

<file path=xl/calcChain.xml><?xml version="1.0" encoding="utf-8"?>
<calcChain xmlns="http://schemas.openxmlformats.org/spreadsheetml/2006/main">
  <c r="N15" i="7" l="1"/>
  <c r="M15" i="7"/>
  <c r="L15" i="7"/>
  <c r="O15" i="7" s="1"/>
  <c r="H15" i="7"/>
  <c r="I15" i="7" s="1"/>
  <c r="G15" i="7"/>
  <c r="E15" i="7"/>
  <c r="J15" i="7" s="1"/>
  <c r="N14" i="7"/>
  <c r="O14" i="7" s="1"/>
  <c r="M14" i="7"/>
  <c r="L14" i="7"/>
  <c r="I14" i="7"/>
  <c r="H14" i="7"/>
  <c r="G14" i="7"/>
  <c r="E14" i="7"/>
  <c r="J14" i="7" s="1"/>
  <c r="O13" i="7"/>
  <c r="N13" i="7"/>
  <c r="M13" i="7"/>
  <c r="L13" i="7"/>
  <c r="H13" i="7"/>
  <c r="G13" i="7"/>
  <c r="E13" i="7"/>
  <c r="J13" i="7" s="1"/>
  <c r="D6" i="7"/>
  <c r="C6" i="7"/>
  <c r="B6" i="7"/>
  <c r="C54" i="6"/>
  <c r="M19" i="6" s="1"/>
  <c r="C53" i="6"/>
  <c r="C48" i="6"/>
  <c r="C47" i="6"/>
  <c r="C46" i="6"/>
  <c r="C45" i="6"/>
  <c r="C44" i="6"/>
  <c r="C43" i="6"/>
  <c r="C42" i="6"/>
  <c r="C41" i="6"/>
  <c r="C40" i="6"/>
  <c r="C49" i="6" s="1"/>
  <c r="M13" i="6" s="1"/>
  <c r="C34" i="6"/>
  <c r="D29" i="6"/>
  <c r="E29" i="6" s="1"/>
  <c r="C29" i="6"/>
  <c r="B29" i="6"/>
  <c r="N28" i="6"/>
  <c r="N27" i="6"/>
  <c r="B27" i="6"/>
  <c r="E27" i="6" s="1"/>
  <c r="N26" i="6"/>
  <c r="E22" i="6"/>
  <c r="G22" i="6" s="1"/>
  <c r="K20" i="6"/>
  <c r="J20" i="6"/>
  <c r="F20" i="6"/>
  <c r="E20" i="6"/>
  <c r="G20" i="6" s="1"/>
  <c r="L19" i="6"/>
  <c r="K19" i="6"/>
  <c r="J19" i="6"/>
  <c r="F19" i="6"/>
  <c r="D19" i="6"/>
  <c r="E19" i="6" s="1"/>
  <c r="L17" i="6"/>
  <c r="G17" i="6"/>
  <c r="H17" i="6" s="1"/>
  <c r="I17" i="6" s="1"/>
  <c r="E17" i="6"/>
  <c r="L16" i="6"/>
  <c r="H16" i="6"/>
  <c r="I16" i="6" s="1"/>
  <c r="G16" i="6"/>
  <c r="E16" i="6"/>
  <c r="L15" i="6"/>
  <c r="E15" i="6"/>
  <c r="G15" i="6" s="1"/>
  <c r="L14" i="6"/>
  <c r="E14" i="6"/>
  <c r="L13" i="6"/>
  <c r="K13" i="6"/>
  <c r="E13" i="6"/>
  <c r="H13" i="6" s="1"/>
  <c r="B9" i="6"/>
  <c r="B6" i="6"/>
  <c r="H25" i="4"/>
  <c r="G25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F11" i="4"/>
  <c r="G11" i="4" s="1"/>
  <c r="E11" i="4"/>
  <c r="E9" i="4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E9" i="3"/>
  <c r="F9" i="3" s="1"/>
  <c r="D9" i="3"/>
  <c r="G29" i="2"/>
  <c r="F29" i="2"/>
  <c r="G28" i="2"/>
  <c r="F28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E9" i="2"/>
  <c r="G9" i="2" s="1"/>
  <c r="D9" i="2"/>
  <c r="G29" i="1"/>
  <c r="F29" i="1"/>
  <c r="G28" i="1"/>
  <c r="F28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E9" i="1"/>
  <c r="F9" i="1" s="1"/>
  <c r="D9" i="1"/>
  <c r="F29" i="6" l="1"/>
  <c r="G29" i="6"/>
  <c r="O28" i="6" s="1"/>
  <c r="I13" i="6"/>
  <c r="G19" i="6"/>
  <c r="H19" i="6" s="1"/>
  <c r="F27" i="6"/>
  <c r="Q13" i="7"/>
  <c r="P14" i="7"/>
  <c r="Q14" i="7" s="1"/>
  <c r="H11" i="4"/>
  <c r="H15" i="6"/>
  <c r="I15" i="6" s="1"/>
  <c r="H20" i="6"/>
  <c r="H22" i="6"/>
  <c r="I13" i="7"/>
  <c r="P15" i="7"/>
  <c r="Q15" i="7" s="1"/>
  <c r="F9" i="2"/>
  <c r="G14" i="6"/>
  <c r="H14" i="6" s="1"/>
  <c r="D34" i="6"/>
  <c r="E34" i="6" s="1"/>
  <c r="P13" i="7"/>
  <c r="H34" i="6" l="1"/>
  <c r="G34" i="6"/>
  <c r="I14" i="6"/>
  <c r="N13" i="6"/>
  <c r="I19" i="6"/>
  <c r="N19" i="6" s="1"/>
  <c r="T14" i="7"/>
  <c r="S14" i="7"/>
  <c r="O27" i="6"/>
  <c r="P27" i="6" s="1"/>
  <c r="O26" i="6"/>
  <c r="P26" i="6" s="1"/>
  <c r="T15" i="7"/>
  <c r="S15" i="7"/>
  <c r="I22" i="6"/>
  <c r="N22" i="6"/>
  <c r="S13" i="7"/>
  <c r="T13" i="7"/>
  <c r="G27" i="6"/>
  <c r="H27" i="6" s="1"/>
  <c r="I20" i="6"/>
  <c r="N20" i="6" s="1"/>
  <c r="K27" i="6" l="1"/>
  <c r="J27" i="6"/>
  <c r="P20" i="6"/>
  <c r="Q20" i="6" s="1"/>
  <c r="O20" i="6"/>
  <c r="O19" i="6"/>
  <c r="O22" i="6"/>
  <c r="P22" i="6"/>
  <c r="Q22" i="6" s="1"/>
  <c r="R26" i="6"/>
  <c r="S26" i="6"/>
  <c r="O13" i="6"/>
  <c r="R27" i="6"/>
  <c r="S27" i="6"/>
  <c r="T22" i="6" l="1"/>
  <c r="S22" i="6"/>
  <c r="S20" i="6"/>
  <c r="T20" i="6"/>
  <c r="P19" i="6"/>
  <c r="Q19" i="6" s="1"/>
  <c r="P13" i="6"/>
  <c r="Q13" i="6" s="1"/>
  <c r="S13" i="6" l="1"/>
  <c r="T13" i="6"/>
  <c r="S19" i="6"/>
  <c r="T19" i="6"/>
</calcChain>
</file>

<file path=xl/sharedStrings.xml><?xml version="1.0" encoding="utf-8"?>
<sst xmlns="http://schemas.openxmlformats.org/spreadsheetml/2006/main" count="324" uniqueCount="118">
  <si>
    <t>Приложение № 3</t>
  </si>
  <si>
    <t>Общество с ограниченной ответственностью</t>
  </si>
  <si>
    <t>УК "Южные паруса"</t>
  </si>
  <si>
    <t>Размер платы, тарифы и цены на услуги по содержанию, техническому обслуживанию и управлению, применяемые с 01.12.2022 года</t>
  </si>
  <si>
    <t>ФОТ эл., сант., управл. Пом, мат сэ</t>
  </si>
  <si>
    <t xml:space="preserve"> Площадь- 37415,20</t>
  </si>
  <si>
    <t>Наименование</t>
  </si>
  <si>
    <t>Ед. измерения (в месяц)</t>
  </si>
  <si>
    <t>Тариф действующий</t>
  </si>
  <si>
    <t>Тариф новый</t>
  </si>
  <si>
    <t>Отклонение, руб./кв.м.</t>
  </si>
  <si>
    <t>Отклонение, %</t>
  </si>
  <si>
    <t>I</t>
  </si>
  <si>
    <t>Содержание и ремонт жилого помещения</t>
  </si>
  <si>
    <t>руб./кв.м</t>
  </si>
  <si>
    <t>Содержание общего имущества в многоквартирном доме</t>
  </si>
  <si>
    <t xml:space="preserve">   руб. /кв.м</t>
  </si>
  <si>
    <t>Текущий ремонт общего имущества многоквартирного дома</t>
  </si>
  <si>
    <t>руб. /кв.м</t>
  </si>
  <si>
    <t>Уборка мест общего пользования</t>
  </si>
  <si>
    <t>Санитарное содержание придомовой территории</t>
  </si>
  <si>
    <t>Сервисное обслуживание системы контроля управления доступом и видеонаблюдения</t>
  </si>
  <si>
    <t>Сервисное обслуживание систем автоматической противопожарной защиты</t>
  </si>
  <si>
    <t xml:space="preserve">Сервисное обслуживание объединенных диспетчерских систем </t>
  </si>
  <si>
    <t xml:space="preserve">Эксплуатация коллективных приборов учета электрической энергии </t>
  </si>
  <si>
    <t>Эксплуатация коллективных приборов учета тепловой энергии и горячей воды, оборудования ИТП</t>
  </si>
  <si>
    <t>Эксплуатация коллективных приборов учета холодной воды</t>
  </si>
  <si>
    <t>Сервисное обслуживание, освидетельствование, страхование  лифтов</t>
  </si>
  <si>
    <t>Управление многоквартирным домом</t>
  </si>
  <si>
    <t>Служба регистрационного учета</t>
  </si>
  <si>
    <t>Служба консьерж-сервис</t>
  </si>
  <si>
    <t>Аварийно-диспетчерская служба</t>
  </si>
  <si>
    <t>Сервисное обслуживание систем экстренного оповещения</t>
  </si>
  <si>
    <t>Вознаграждение за организацию предоставления и оплаты коммунальных услуг, формирование, накопление и контроль резервного фонда дома</t>
  </si>
  <si>
    <t>Резервный фонд домовладельцев</t>
  </si>
  <si>
    <t>Обслуживание системы коллективного приема телевидения</t>
  </si>
  <si>
    <t>руб. /отвод</t>
  </si>
  <si>
    <t>для владельцев нежилых помещений домов №  75 корп.1, 77 корп.1, 77 корп.2 по Ленинскому пр.</t>
  </si>
  <si>
    <t>Содержание и ремонт нежилого помещения</t>
  </si>
  <si>
    <t>II</t>
  </si>
  <si>
    <t>Площадь:</t>
  </si>
  <si>
    <t>жилье</t>
  </si>
  <si>
    <t>нежилье</t>
  </si>
  <si>
    <t>паркинг</t>
  </si>
  <si>
    <t>количество м/мест</t>
  </si>
  <si>
    <t>средняя площадь машиноместа</t>
  </si>
  <si>
    <t>Статья расходов</t>
  </si>
  <si>
    <t xml:space="preserve">Должность  </t>
  </si>
  <si>
    <t>Кол-во</t>
  </si>
  <si>
    <t>ФОТ 1 человека, руб.</t>
  </si>
  <si>
    <t>ФОТ, руб.</t>
  </si>
  <si>
    <t>Доплата за праздничные дни, руб.</t>
  </si>
  <si>
    <t xml:space="preserve">Резерв отпусков, руб.
</t>
  </si>
  <si>
    <t>ФОТ_итого, руб.</t>
  </si>
  <si>
    <t>Страховые взносы, руб.</t>
  </si>
  <si>
    <t>Канцтовары, материалы, руб.</t>
  </si>
  <si>
    <t>Спецодежда, руб.</t>
  </si>
  <si>
    <t>Обучение, руб.</t>
  </si>
  <si>
    <t>Услуги сторонних орг-ций, руб.</t>
  </si>
  <si>
    <t xml:space="preserve">ИТОГО 
РАСХОДЫ, руб. </t>
  </si>
  <si>
    <t>Налог при УСН, руб.</t>
  </si>
  <si>
    <t>Рентабельность 10%, руб.</t>
  </si>
  <si>
    <t>Тариф_проект, руб./м2</t>
  </si>
  <si>
    <t>Тариф действующий, руб./м2</t>
  </si>
  <si>
    <t>Отклонение, руб./м2</t>
  </si>
  <si>
    <t>Содержание общего имущества</t>
  </si>
  <si>
    <t>Управляющий</t>
  </si>
  <si>
    <t>Инженер по эксплуатации</t>
  </si>
  <si>
    <t>Техник по эксплуатации</t>
  </si>
  <si>
    <t>Диспетчер</t>
  </si>
  <si>
    <t>Консьерж</t>
  </si>
  <si>
    <t>Паспортист</t>
  </si>
  <si>
    <t>Сумма по договору с клининговой компанией, руб.</t>
  </si>
  <si>
    <t xml:space="preserve">Материалы для весенних работ, руб. </t>
  </si>
  <si>
    <t>Услуги мех.уборки и вывоза снега, руб.</t>
  </si>
  <si>
    <t>Доходы по старым тарифам, руб.</t>
  </si>
  <si>
    <t>Расходы, руб.</t>
  </si>
  <si>
    <t>Отклонение, руб.</t>
  </si>
  <si>
    <t xml:space="preserve">жилье </t>
  </si>
  <si>
    <t>Уборка мест общего пользования, паркинга</t>
  </si>
  <si>
    <t>Сумма по договору, руб.</t>
  </si>
  <si>
    <t>Служба администраторов территории и паркинга</t>
  </si>
  <si>
    <t>Услуги сторонних организаций</t>
  </si>
  <si>
    <t>Сумма, руб.</t>
  </si>
  <si>
    <t>Услуги по дератизации, дезинфекции объекта</t>
  </si>
  <si>
    <t>Услуги по чистке ковриков объекта</t>
  </si>
  <si>
    <t xml:space="preserve">Транспортные расходы </t>
  </si>
  <si>
    <t>Услуги по обслуживанию комплексов очистки воды (ХВС, ГВС)</t>
  </si>
  <si>
    <t xml:space="preserve">Услуги по испытанию средств защиты, поверке электрооборудования, утилизации люминисцентных ламп     </t>
  </si>
  <si>
    <t>Услуги по измерению сопротивления изоляции сетей электроснабжения</t>
  </si>
  <si>
    <t>Страхование гражданской ответственности</t>
  </si>
  <si>
    <t>Аренда офисных помещений</t>
  </si>
  <si>
    <t>Праздничные украшения</t>
  </si>
  <si>
    <t>Итого расходы</t>
  </si>
  <si>
    <t>Расходы на услуги связи</t>
  </si>
  <si>
    <t>Тревожная кнопка</t>
  </si>
  <si>
    <t>Площадь, м2:</t>
  </si>
  <si>
    <t>Ленинский 75/1</t>
  </si>
  <si>
    <t>Ленинский 77/1</t>
  </si>
  <si>
    <t>Ленинский 77/2</t>
  </si>
  <si>
    <t>автостоянка</t>
  </si>
  <si>
    <t>Площадь первых этажей, м2</t>
  </si>
  <si>
    <t>Объект</t>
  </si>
  <si>
    <t>Фирма, обслуживающая лифтовое оборудование</t>
  </si>
  <si>
    <t>Количество лифтов</t>
  </si>
  <si>
    <t>Количество подъемников для маломобильных людей</t>
  </si>
  <si>
    <t>Доходы по действующим тарифам, руб.</t>
  </si>
  <si>
    <t>Расходы действующие, руб., в т.ч.:</t>
  </si>
  <si>
    <t>Расходы новые, руб.</t>
  </si>
  <si>
    <t>Тариф новый, руб./м2</t>
  </si>
  <si>
    <t>Т/о</t>
  </si>
  <si>
    <t>Диагностика</t>
  </si>
  <si>
    <t>Страхование</t>
  </si>
  <si>
    <t>Т/о, с подъемниками</t>
  </si>
  <si>
    <t>РСК Сервис</t>
  </si>
  <si>
    <t>для владельцев жилых помещений домов №  75 корп.1 лит А по Ленинскому пр.</t>
  </si>
  <si>
    <t>для владельцев жилых помещений домов №  77 корп.1 лит А по Ленинскому пр.</t>
  </si>
  <si>
    <t>для владельцев жилых помещений домов №  77 корп.2 лит А по Ленинскому пр.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</si>
</sst>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42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color indexed="64"/>
      <name val="Arial Cyr"/>
    </font>
    <font>
      <sz val="10"/>
      <name val="Arial"/>
      <family val="2"/>
      <charset val="204"/>
    </font>
    <font>
      <sz val="11"/>
      <color indexed="64"/>
      <name val="Calibri"/>
      <family val="2"/>
      <charset val="204"/>
    </font>
    <font>
      <sz val="11"/>
      <name val="Calibri"/>
      <family val="2"/>
      <charset val="204"/>
    </font>
    <font>
      <sz val="11"/>
      <color indexed="65"/>
      <name val="Calibri"/>
      <family val="2"/>
      <charset val="204"/>
    </font>
    <font>
      <b/>
      <i/>
      <sz val="14"/>
      <color indexed="64"/>
      <name val="Arial"/>
      <family val="2"/>
      <charset val="204"/>
    </font>
    <font>
      <b/>
      <i/>
      <sz val="10"/>
      <color indexed="65"/>
      <name val="Arial"/>
      <family val="2"/>
      <charset val="204"/>
    </font>
    <font>
      <b/>
      <i/>
      <sz val="10"/>
      <color indexed="64"/>
      <name val="Arial"/>
      <family val="2"/>
      <charset val="204"/>
    </font>
    <font>
      <b/>
      <i/>
      <sz val="12"/>
      <color indexed="64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1"/>
      <color indexed="64"/>
      <name val="Times New Roman"/>
      <family val="1"/>
      <charset val="204"/>
    </font>
    <font>
      <sz val="11"/>
      <color indexed="64"/>
      <name val="Arial"/>
      <family val="2"/>
      <charset val="204"/>
    </font>
    <font>
      <i/>
      <sz val="11"/>
      <color indexed="64"/>
      <name val="Arial"/>
      <family val="2"/>
      <charset val="204"/>
    </font>
    <font>
      <sz val="11"/>
      <color indexed="2"/>
      <name val="Calibri"/>
      <family val="2"/>
      <charset val="204"/>
    </font>
    <font>
      <sz val="11"/>
      <name val="Arial Cyr"/>
    </font>
    <font>
      <b/>
      <i/>
      <sz val="11"/>
      <color indexed="64"/>
      <name val="Arial"/>
      <family val="2"/>
      <charset val="204"/>
    </font>
    <font>
      <i/>
      <sz val="11"/>
      <name val="Arial"/>
      <family val="2"/>
      <charset val="204"/>
    </font>
    <font>
      <sz val="11"/>
      <color indexed="2"/>
      <name val="Arial Cyr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Arial Cyr"/>
    </font>
    <font>
      <sz val="11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sz val="14"/>
      <color indexed="6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</cellStyleXfs>
  <cellXfs count="221">
    <xf numFmtId="0" fontId="0" fillId="0" borderId="0" xfId="0"/>
    <xf numFmtId="0" fontId="0" fillId="0" borderId="0" xfId="0"/>
    <xf numFmtId="0" fontId="5" fillId="0" borderId="0" xfId="12" applyFont="1"/>
    <xf numFmtId="0" fontId="6" fillId="0" borderId="0" xfId="12" applyFont="1"/>
    <xf numFmtId="0" fontId="7" fillId="0" borderId="0" xfId="12" applyFont="1"/>
    <xf numFmtId="0" fontId="9" fillId="0" borderId="0" xfId="12" applyFont="1" applyAlignment="1">
      <alignment horizontal="right"/>
    </xf>
    <xf numFmtId="0" fontId="10" fillId="0" borderId="1" xfId="12" applyFont="1" applyBorder="1" applyAlignment="1">
      <alignment horizontal="center" wrapText="1"/>
    </xf>
    <xf numFmtId="0" fontId="11" fillId="0" borderId="1" xfId="12" applyFont="1" applyBorder="1" applyAlignment="1">
      <alignment horizontal="center" vertical="center" wrapText="1"/>
    </xf>
    <xf numFmtId="0" fontId="12" fillId="0" borderId="2" xfId="12" applyFont="1" applyBorder="1" applyAlignment="1">
      <alignment horizontal="center" vertical="center" wrapText="1"/>
    </xf>
    <xf numFmtId="0" fontId="8" fillId="2" borderId="2" xfId="12" applyFont="1" applyFill="1" applyBorder="1" applyAlignment="1">
      <alignment horizontal="center" vertical="center" wrapText="1"/>
    </xf>
    <xf numFmtId="0" fontId="8" fillId="2" borderId="2" xfId="12" applyFont="1" applyFill="1" applyBorder="1" applyAlignment="1">
      <alignment horizontal="left" vertical="center" wrapText="1"/>
    </xf>
    <xf numFmtId="2" fontId="8" fillId="2" borderId="2" xfId="12" applyNumberFormat="1" applyFont="1" applyFill="1" applyBorder="1" applyAlignment="1">
      <alignment horizontal="center" vertical="center" wrapText="1"/>
    </xf>
    <xf numFmtId="0" fontId="7" fillId="0" borderId="0" xfId="12" applyFont="1" applyAlignment="1">
      <alignment vertical="center"/>
    </xf>
    <xf numFmtId="0" fontId="13" fillId="0" borderId="1" xfId="12" applyFont="1" applyBorder="1" applyAlignment="1">
      <alignment horizontal="center" vertical="center" wrapText="1"/>
    </xf>
    <xf numFmtId="0" fontId="14" fillId="0" borderId="1" xfId="12" applyFont="1" applyBorder="1" applyAlignment="1">
      <alignment vertical="center" wrapText="1"/>
    </xf>
    <xf numFmtId="0" fontId="15" fillId="0" borderId="1" xfId="12" applyFont="1" applyBorder="1" applyAlignment="1">
      <alignment vertical="center" wrapText="1"/>
    </xf>
    <xf numFmtId="0" fontId="16" fillId="0" borderId="0" xfId="12" applyFont="1" applyAlignment="1">
      <alignment vertical="center"/>
    </xf>
    <xf numFmtId="0" fontId="17" fillId="0" borderId="0" xfId="0" applyFont="1"/>
    <xf numFmtId="0" fontId="18" fillId="0" borderId="2" xfId="12" applyFont="1" applyBorder="1" applyAlignment="1">
      <alignment horizontal="center" wrapText="1"/>
    </xf>
    <xf numFmtId="0" fontId="15" fillId="0" borderId="1" xfId="12" applyFont="1" applyBorder="1" applyAlignment="1">
      <alignment horizontal="center" vertical="center" wrapText="1"/>
    </xf>
    <xf numFmtId="0" fontId="16" fillId="0" borderId="0" xfId="12" applyFont="1"/>
    <xf numFmtId="0" fontId="13" fillId="0" borderId="2" xfId="12" applyFont="1" applyBorder="1" applyAlignment="1">
      <alignment horizontal="center" wrapText="1"/>
    </xf>
    <xf numFmtId="0" fontId="14" fillId="0" borderId="2" xfId="12" applyFont="1" applyBorder="1" applyAlignment="1">
      <alignment horizontal="left" vertical="center" wrapText="1"/>
    </xf>
    <xf numFmtId="0" fontId="15" fillId="0" borderId="2" xfId="12" applyFont="1" applyBorder="1" applyAlignment="1">
      <alignment horizontal="center" vertical="center" wrapText="1"/>
    </xf>
    <xf numFmtId="0" fontId="20" fillId="0" borderId="0" xfId="0" applyFont="1"/>
    <xf numFmtId="0" fontId="14" fillId="0" borderId="1" xfId="12" applyFont="1" applyBorder="1" applyAlignment="1">
      <alignment horizontal="left" vertical="center" wrapText="1"/>
    </xf>
    <xf numFmtId="0" fontId="5" fillId="0" borderId="0" xfId="12" applyFont="1" applyAlignment="1">
      <alignment vertical="center"/>
    </xf>
    <xf numFmtId="0" fontId="18" fillId="0" borderId="2" xfId="12" applyFont="1" applyBorder="1" applyAlignment="1">
      <alignment horizontal="center" vertical="center" wrapText="1"/>
    </xf>
    <xf numFmtId="2" fontId="15" fillId="0" borderId="2" xfId="12" applyNumberFormat="1" applyFont="1" applyBorder="1" applyAlignment="1">
      <alignment horizontal="center" vertical="center" wrapText="1"/>
    </xf>
    <xf numFmtId="0" fontId="18" fillId="0" borderId="3" xfId="12" applyFont="1" applyBorder="1" applyAlignment="1">
      <alignment horizontal="center" vertical="center" wrapText="1"/>
    </xf>
    <xf numFmtId="2" fontId="15" fillId="3" borderId="2" xfId="12" applyNumberFormat="1" applyFont="1" applyFill="1" applyBorder="1" applyAlignment="1">
      <alignment horizontal="center" vertical="center" wrapText="1"/>
    </xf>
    <xf numFmtId="2" fontId="15" fillId="3" borderId="1" xfId="12" applyNumberFormat="1" applyFont="1" applyFill="1" applyBorder="1" applyAlignment="1">
      <alignment horizontal="center" vertical="center" wrapText="1"/>
    </xf>
    <xf numFmtId="2" fontId="19" fillId="3" borderId="1" xfId="12" applyNumberFormat="1" applyFont="1" applyFill="1" applyBorder="1" applyAlignment="1">
      <alignment horizontal="center" vertical="center" wrapText="1"/>
    </xf>
    <xf numFmtId="2" fontId="19" fillId="3" borderId="2" xfId="12" applyNumberFormat="1" applyFont="1" applyFill="1" applyBorder="1" applyAlignment="1">
      <alignment horizontal="center" vertical="center" wrapText="1"/>
    </xf>
    <xf numFmtId="0" fontId="17" fillId="3" borderId="0" xfId="0" applyFont="1" applyFill="1"/>
    <xf numFmtId="0" fontId="0" fillId="3" borderId="0" xfId="0" applyFill="1"/>
    <xf numFmtId="0" fontId="21" fillId="0" borderId="0" xfId="12" applyFont="1"/>
    <xf numFmtId="0" fontId="10" fillId="0" borderId="2" xfId="12" applyFont="1" applyBorder="1" applyAlignment="1">
      <alignment horizontal="center" wrapText="1"/>
    </xf>
    <xf numFmtId="0" fontId="11" fillId="0" borderId="2" xfId="12" applyFont="1" applyBorder="1" applyAlignment="1">
      <alignment horizontal="center" vertical="center" wrapText="1"/>
    </xf>
    <xf numFmtId="0" fontId="19" fillId="0" borderId="0" xfId="12" applyFont="1" applyAlignment="1">
      <alignment vertical="center"/>
    </xf>
    <xf numFmtId="0" fontId="5" fillId="3" borderId="0" xfId="12" applyFont="1" applyFill="1" applyAlignment="1">
      <alignment vertical="center"/>
    </xf>
    <xf numFmtId="0" fontId="6" fillId="3" borderId="0" xfId="12" applyFont="1" applyFill="1"/>
    <xf numFmtId="0" fontId="7" fillId="3" borderId="0" xfId="12" applyFont="1" applyFill="1"/>
    <xf numFmtId="0" fontId="15" fillId="0" borderId="3" xfId="12" applyFont="1" applyBorder="1" applyAlignment="1">
      <alignment horizontal="center" vertical="center" wrapText="1"/>
    </xf>
    <xf numFmtId="0" fontId="15" fillId="0" borderId="2" xfId="12" applyFont="1" applyBorder="1" applyAlignment="1">
      <alignment horizontal="left" vertical="center" wrapText="1"/>
    </xf>
    <xf numFmtId="0" fontId="21" fillId="3" borderId="0" xfId="12" applyFont="1" applyFill="1"/>
    <xf numFmtId="0" fontId="1" fillId="0" borderId="0" xfId="3" applyFont="1"/>
    <xf numFmtId="0" fontId="22" fillId="0" borderId="0" xfId="3" applyFont="1"/>
    <xf numFmtId="0" fontId="23" fillId="0" borderId="0" xfId="3" applyFont="1"/>
    <xf numFmtId="0" fontId="24" fillId="0" borderId="0" xfId="3" applyFont="1" applyAlignment="1">
      <alignment horizontal="center" vertical="center" wrapText="1"/>
    </xf>
    <xf numFmtId="0" fontId="24" fillId="0" borderId="0" xfId="3" applyFont="1"/>
    <xf numFmtId="4" fontId="24" fillId="0" borderId="0" xfId="3" applyNumberFormat="1" applyFont="1" applyAlignment="1">
      <alignment horizontal="left"/>
    </xf>
    <xf numFmtId="4" fontId="24" fillId="0" borderId="0" xfId="3" applyNumberFormat="1" applyFont="1"/>
    <xf numFmtId="4" fontId="23" fillId="0" borderId="0" xfId="3" applyNumberFormat="1" applyFont="1" applyAlignment="1">
      <alignment horizontal="left"/>
    </xf>
    <xf numFmtId="4" fontId="23" fillId="0" borderId="0" xfId="3" applyNumberFormat="1" applyFont="1"/>
    <xf numFmtId="0" fontId="25" fillId="0" borderId="0" xfId="3" applyFont="1"/>
    <xf numFmtId="3" fontId="24" fillId="0" borderId="0" xfId="3" applyNumberFormat="1" applyFont="1" applyAlignment="1">
      <alignment horizontal="left"/>
    </xf>
    <xf numFmtId="0" fontId="26" fillId="0" borderId="0" xfId="3" applyFont="1"/>
    <xf numFmtId="0" fontId="27" fillId="0" borderId="0" xfId="11" applyFont="1"/>
    <xf numFmtId="0" fontId="28" fillId="0" borderId="4" xfId="11" applyFont="1" applyBorder="1" applyAlignment="1">
      <alignment horizontal="center" vertical="center" wrapText="1"/>
    </xf>
    <xf numFmtId="0" fontId="28" fillId="0" borderId="5" xfId="11" applyFont="1" applyBorder="1" applyAlignment="1">
      <alignment horizontal="center" vertical="center"/>
    </xf>
    <xf numFmtId="3" fontId="28" fillId="0" borderId="5" xfId="11" applyNumberFormat="1" applyFont="1" applyBorder="1" applyAlignment="1">
      <alignment horizontal="center" vertical="center" wrapText="1"/>
    </xf>
    <xf numFmtId="3" fontId="28" fillId="4" borderId="5" xfId="11" applyNumberFormat="1" applyFont="1" applyFill="1" applyBorder="1" applyAlignment="1">
      <alignment horizontal="center" vertical="center" wrapText="1"/>
    </xf>
    <xf numFmtId="3" fontId="28" fillId="0" borderId="6" xfId="11" applyNumberFormat="1" applyFont="1" applyBorder="1" applyAlignment="1">
      <alignment horizontal="center" vertical="center" wrapText="1"/>
    </xf>
    <xf numFmtId="0" fontId="29" fillId="0" borderId="0" xfId="11" applyFont="1"/>
    <xf numFmtId="3" fontId="29" fillId="0" borderId="7" xfId="11" applyNumberFormat="1" applyFont="1" applyBorder="1" applyAlignment="1">
      <alignment horizontal="center"/>
    </xf>
    <xf numFmtId="3" fontId="29" fillId="0" borderId="8" xfId="11" applyNumberFormat="1" applyFont="1" applyBorder="1" applyAlignment="1">
      <alignment horizontal="center"/>
    </xf>
    <xf numFmtId="4" fontId="29" fillId="4" borderId="8" xfId="11" applyNumberFormat="1" applyFont="1" applyFill="1" applyBorder="1" applyAlignment="1">
      <alignment horizontal="center"/>
    </xf>
    <xf numFmtId="4" fontId="29" fillId="0" borderId="8" xfId="11" applyNumberFormat="1" applyFont="1" applyBorder="1" applyAlignment="1">
      <alignment horizontal="center"/>
    </xf>
    <xf numFmtId="4" fontId="29" fillId="0" borderId="9" xfId="11" applyNumberFormat="1" applyFont="1" applyBorder="1" applyAlignment="1">
      <alignment horizontal="center"/>
    </xf>
    <xf numFmtId="0" fontId="27" fillId="0" borderId="0" xfId="11" applyFont="1" applyAlignment="1">
      <alignment vertical="center"/>
    </xf>
    <xf numFmtId="3" fontId="29" fillId="0" borderId="11" xfId="11" applyNumberFormat="1" applyFont="1" applyBorder="1" applyAlignment="1">
      <alignment horizontal="center" vertical="center"/>
    </xf>
    <xf numFmtId="3" fontId="29" fillId="0" borderId="12" xfId="11" applyNumberFormat="1" applyFont="1" applyBorder="1" applyAlignment="1">
      <alignment horizontal="center" vertical="center"/>
    </xf>
    <xf numFmtId="4" fontId="29" fillId="4" borderId="12" xfId="11" applyNumberFormat="1" applyFont="1" applyFill="1" applyBorder="1" applyAlignment="1">
      <alignment horizontal="center" vertical="center"/>
    </xf>
    <xf numFmtId="4" fontId="29" fillId="0" borderId="12" xfId="11" applyNumberFormat="1" applyFont="1" applyBorder="1" applyAlignment="1">
      <alignment horizontal="center" vertical="center"/>
    </xf>
    <xf numFmtId="4" fontId="29" fillId="0" borderId="13" xfId="11" applyNumberFormat="1" applyFont="1" applyBorder="1" applyAlignment="1">
      <alignment horizontal="center" vertical="center"/>
    </xf>
    <xf numFmtId="0" fontId="29" fillId="0" borderId="0" xfId="11" applyFont="1" applyAlignment="1">
      <alignment vertical="center"/>
    </xf>
    <xf numFmtId="3" fontId="29" fillId="3" borderId="11" xfId="11" applyNumberFormat="1" applyFont="1" applyFill="1" applyBorder="1" applyAlignment="1">
      <alignment horizontal="center" vertical="center"/>
    </xf>
    <xf numFmtId="3" fontId="29" fillId="0" borderId="16" xfId="11" applyNumberFormat="1" applyFont="1" applyBorder="1" applyAlignment="1">
      <alignment horizontal="center" vertical="center" wrapText="1"/>
    </xf>
    <xf numFmtId="3" fontId="29" fillId="0" borderId="12" xfId="11" applyNumberFormat="1" applyFont="1" applyBorder="1" applyAlignment="1">
      <alignment horizontal="center"/>
    </xf>
    <xf numFmtId="0" fontId="30" fillId="0" borderId="0" xfId="11" applyFont="1"/>
    <xf numFmtId="3" fontId="28" fillId="0" borderId="17" xfId="11" applyNumberFormat="1" applyFont="1" applyBorder="1" applyAlignment="1">
      <alignment horizontal="center"/>
    </xf>
    <xf numFmtId="3" fontId="28" fillId="0" borderId="18" xfId="11" applyNumberFormat="1" applyFont="1" applyBorder="1" applyAlignment="1">
      <alignment horizontal="center"/>
    </xf>
    <xf numFmtId="4" fontId="28" fillId="4" borderId="18" xfId="11" applyNumberFormat="1" applyFont="1" applyFill="1" applyBorder="1" applyAlignment="1">
      <alignment horizontal="center"/>
    </xf>
    <xf numFmtId="4" fontId="28" fillId="0" borderId="18" xfId="11" applyNumberFormat="1" applyFont="1" applyBorder="1" applyAlignment="1">
      <alignment horizontal="center"/>
    </xf>
    <xf numFmtId="4" fontId="28" fillId="0" borderId="19" xfId="11" applyNumberFormat="1" applyFont="1" applyBorder="1" applyAlignment="1">
      <alignment horizontal="center"/>
    </xf>
    <xf numFmtId="0" fontId="28" fillId="0" borderId="0" xfId="11" applyFont="1"/>
    <xf numFmtId="0" fontId="31" fillId="0" borderId="0" xfId="3" applyFont="1"/>
    <xf numFmtId="0" fontId="32" fillId="0" borderId="0" xfId="3" applyFont="1"/>
    <xf numFmtId="0" fontId="28" fillId="0" borderId="5" xfId="11" applyFont="1" applyBorder="1" applyAlignment="1">
      <alignment horizontal="center" vertical="center" wrapText="1"/>
    </xf>
    <xf numFmtId="0" fontId="28" fillId="4" borderId="5" xfId="11" applyFont="1" applyFill="1" applyBorder="1" applyAlignment="1">
      <alignment horizontal="center" vertical="center" wrapText="1"/>
    </xf>
    <xf numFmtId="0" fontId="28" fillId="0" borderId="6" xfId="11" applyFont="1" applyBorder="1" applyAlignment="1">
      <alignment horizontal="center" vertical="center" wrapText="1"/>
    </xf>
    <xf numFmtId="0" fontId="29" fillId="0" borderId="7" xfId="11" applyFont="1" applyBorder="1"/>
    <xf numFmtId="2" fontId="29" fillId="4" borderId="8" xfId="11" applyNumberFormat="1" applyFont="1" applyFill="1" applyBorder="1" applyAlignment="1">
      <alignment horizontal="center"/>
    </xf>
    <xf numFmtId="0" fontId="29" fillId="4" borderId="8" xfId="11" applyFont="1" applyFill="1" applyBorder="1" applyAlignment="1">
      <alignment horizontal="center"/>
    </xf>
    <xf numFmtId="2" fontId="29" fillId="0" borderId="8" xfId="11" applyNumberFormat="1" applyFont="1" applyBorder="1" applyAlignment="1">
      <alignment horizontal="center"/>
    </xf>
    <xf numFmtId="2" fontId="29" fillId="0" borderId="9" xfId="11" applyNumberFormat="1" applyFont="1" applyBorder="1" applyAlignment="1">
      <alignment horizontal="center"/>
    </xf>
    <xf numFmtId="3" fontId="29" fillId="0" borderId="10" xfId="11" applyNumberFormat="1" applyFont="1" applyBorder="1" applyAlignment="1">
      <alignment vertical="center" wrapText="1"/>
    </xf>
    <xf numFmtId="4" fontId="29" fillId="4" borderId="11" xfId="11" applyNumberFormat="1" applyFont="1" applyFill="1" applyBorder="1" applyAlignment="1">
      <alignment horizontal="center" vertical="center"/>
    </xf>
    <xf numFmtId="4" fontId="29" fillId="0" borderId="11" xfId="11" applyNumberFormat="1" applyFont="1" applyBorder="1" applyAlignment="1">
      <alignment horizontal="center" vertical="center"/>
    </xf>
    <xf numFmtId="4" fontId="29" fillId="0" borderId="20" xfId="11" applyNumberFormat="1" applyFont="1" applyBorder="1" applyAlignment="1">
      <alignment horizontal="center" vertical="center"/>
    </xf>
    <xf numFmtId="0" fontId="29" fillId="0" borderId="10" xfId="11" applyFont="1" applyBorder="1" applyAlignment="1">
      <alignment vertical="center"/>
    </xf>
    <xf numFmtId="2" fontId="29" fillId="4" borderId="11" xfId="11" applyNumberFormat="1" applyFont="1" applyFill="1" applyBorder="1" applyAlignment="1">
      <alignment horizontal="center" vertical="center"/>
    </xf>
    <xf numFmtId="0" fontId="29" fillId="4" borderId="11" xfId="11" applyFont="1" applyFill="1" applyBorder="1" applyAlignment="1">
      <alignment horizontal="center" vertical="center"/>
    </xf>
    <xf numFmtId="2" fontId="29" fillId="0" borderId="11" xfId="11" applyNumberFormat="1" applyFont="1" applyBorder="1" applyAlignment="1">
      <alignment horizontal="center" vertical="center"/>
    </xf>
    <xf numFmtId="2" fontId="29" fillId="0" borderId="20" xfId="11" applyNumberFormat="1" applyFont="1" applyBorder="1" applyAlignment="1">
      <alignment horizontal="center" vertical="center"/>
    </xf>
    <xf numFmtId="3" fontId="29" fillId="0" borderId="11" xfId="11" applyNumberFormat="1" applyFont="1" applyBorder="1" applyAlignment="1">
      <alignment horizontal="center"/>
    </xf>
    <xf numFmtId="0" fontId="29" fillId="0" borderId="17" xfId="11" applyFont="1" applyBorder="1"/>
    <xf numFmtId="3" fontId="29" fillId="0" borderId="18" xfId="11" applyNumberFormat="1" applyFont="1" applyBorder="1" applyAlignment="1">
      <alignment horizontal="center"/>
    </xf>
    <xf numFmtId="0" fontId="29" fillId="4" borderId="18" xfId="11" applyFont="1" applyFill="1" applyBorder="1"/>
    <xf numFmtId="0" fontId="29" fillId="0" borderId="18" xfId="11" applyFont="1" applyBorder="1"/>
    <xf numFmtId="0" fontId="29" fillId="0" borderId="19" xfId="11" applyFont="1" applyBorder="1"/>
    <xf numFmtId="3" fontId="28" fillId="0" borderId="0" xfId="11" applyNumberFormat="1" applyFont="1" applyAlignment="1">
      <alignment horizontal="center"/>
    </xf>
    <xf numFmtId="4" fontId="28" fillId="0" borderId="0" xfId="11" applyNumberFormat="1" applyFont="1" applyAlignment="1">
      <alignment horizontal="center"/>
    </xf>
    <xf numFmtId="0" fontId="30" fillId="0" borderId="0" xfId="11" applyFont="1" applyAlignment="1">
      <alignment vertical="center"/>
    </xf>
    <xf numFmtId="0" fontId="32" fillId="0" borderId="0" xfId="3" applyFont="1" applyAlignment="1">
      <alignment vertical="center"/>
    </xf>
    <xf numFmtId="0" fontId="28" fillId="0" borderId="0" xfId="11" applyFont="1" applyAlignment="1">
      <alignment vertical="center"/>
    </xf>
    <xf numFmtId="0" fontId="28" fillId="0" borderId="2" xfId="3" applyFont="1" applyBorder="1" applyAlignment="1">
      <alignment horizontal="center" vertical="center" wrapText="1"/>
    </xf>
    <xf numFmtId="0" fontId="28" fillId="0" borderId="21" xfId="3" applyFont="1" applyBorder="1" applyAlignment="1">
      <alignment horizontal="center" vertical="center"/>
    </xf>
    <xf numFmtId="0" fontId="29" fillId="0" borderId="0" xfId="3" applyFont="1"/>
    <xf numFmtId="0" fontId="27" fillId="0" borderId="0" xfId="3" applyFont="1"/>
    <xf numFmtId="2" fontId="29" fillId="0" borderId="24" xfId="11" applyNumberFormat="1" applyFont="1" applyBorder="1" applyAlignment="1">
      <alignment horizontal="left" vertical="center" wrapText="1"/>
    </xf>
    <xf numFmtId="164" fontId="29" fillId="0" borderId="25" xfId="11" applyNumberFormat="1" applyFont="1" applyBorder="1" applyAlignment="1">
      <alignment horizontal="center" vertical="center" wrapText="1"/>
    </xf>
    <xf numFmtId="2" fontId="29" fillId="0" borderId="26" xfId="11" applyNumberFormat="1" applyFont="1" applyBorder="1" applyAlignment="1">
      <alignment horizontal="left" vertical="center" wrapText="1"/>
    </xf>
    <xf numFmtId="164" fontId="29" fillId="0" borderId="27" xfId="11" applyNumberFormat="1" applyFont="1" applyBorder="1" applyAlignment="1">
      <alignment horizontal="center" vertical="center" wrapText="1"/>
    </xf>
    <xf numFmtId="0" fontId="33" fillId="0" borderId="0" xfId="3" applyFont="1"/>
    <xf numFmtId="2" fontId="29" fillId="0" borderId="28" xfId="11" applyNumberFormat="1" applyFont="1" applyBorder="1" applyAlignment="1">
      <alignment horizontal="left" vertical="center" wrapText="1"/>
    </xf>
    <xf numFmtId="164" fontId="29" fillId="0" borderId="29" xfId="11" applyNumberFormat="1" applyFont="1" applyBorder="1" applyAlignment="1">
      <alignment horizontal="center" vertical="center" wrapText="1"/>
    </xf>
    <xf numFmtId="2" fontId="28" fillId="0" borderId="21" xfId="11" applyNumberFormat="1" applyFont="1" applyBorder="1" applyAlignment="1">
      <alignment horizontal="left" vertical="center" wrapText="1"/>
    </xf>
    <xf numFmtId="164" fontId="28" fillId="0" borderId="2" xfId="11" applyNumberFormat="1" applyFont="1" applyBorder="1" applyAlignment="1">
      <alignment horizontal="center" vertical="center" wrapText="1"/>
    </xf>
    <xf numFmtId="0" fontId="22" fillId="0" borderId="30" xfId="3" applyFont="1" applyBorder="1"/>
    <xf numFmtId="2" fontId="29" fillId="0" borderId="0" xfId="11" applyNumberFormat="1" applyFont="1" applyAlignment="1">
      <alignment horizontal="left" vertical="center" wrapText="1"/>
    </xf>
    <xf numFmtId="164" fontId="29" fillId="0" borderId="31" xfId="11" applyNumberFormat="1" applyFont="1" applyBorder="1" applyAlignment="1">
      <alignment horizontal="center" vertical="center" wrapText="1"/>
    </xf>
    <xf numFmtId="0" fontId="22" fillId="0" borderId="0" xfId="9" applyFont="1"/>
    <xf numFmtId="0" fontId="34" fillId="0" borderId="0" xfId="2" applyFont="1"/>
    <xf numFmtId="0" fontId="25" fillId="0" borderId="0" xfId="2" applyFont="1" applyAlignment="1">
      <alignment horizontal="center"/>
    </xf>
    <xf numFmtId="0" fontId="25" fillId="0" borderId="0" xfId="2" applyFont="1"/>
    <xf numFmtId="4" fontId="25" fillId="0" borderId="0" xfId="2" applyNumberFormat="1" applyFont="1"/>
    <xf numFmtId="4" fontId="34" fillId="0" borderId="0" xfId="2" applyNumberFormat="1" applyFont="1"/>
    <xf numFmtId="0" fontId="34" fillId="0" borderId="0" xfId="9" applyFont="1" applyAlignment="1">
      <alignment horizontal="center" vertical="center"/>
    </xf>
    <xf numFmtId="0" fontId="34" fillId="0" borderId="18" xfId="9" applyFont="1" applyBorder="1" applyAlignment="1">
      <alignment horizontal="center" vertical="center"/>
    </xf>
    <xf numFmtId="0" fontId="34" fillId="0" borderId="17" xfId="9" applyFont="1" applyBorder="1" applyAlignment="1">
      <alignment horizontal="center" vertical="center" wrapText="1"/>
    </xf>
    <xf numFmtId="0" fontId="25" fillId="0" borderId="0" xfId="9" applyFont="1"/>
    <xf numFmtId="0" fontId="25" fillId="0" borderId="7" xfId="9" applyFont="1" applyBorder="1"/>
    <xf numFmtId="0" fontId="25" fillId="0" borderId="40" xfId="9" applyFont="1" applyBorder="1"/>
    <xf numFmtId="0" fontId="25" fillId="0" borderId="8" xfId="9" applyFont="1" applyBorder="1"/>
    <xf numFmtId="0" fontId="25" fillId="0" borderId="9" xfId="9" applyFont="1" applyBorder="1"/>
    <xf numFmtId="0" fontId="25" fillId="0" borderId="25" xfId="8" applyFont="1" applyBorder="1"/>
    <xf numFmtId="0" fontId="25" fillId="0" borderId="24" xfId="8" applyFont="1" applyBorder="1"/>
    <xf numFmtId="0" fontId="25" fillId="4" borderId="25" xfId="8" applyFont="1" applyFill="1" applyBorder="1"/>
    <xf numFmtId="0" fontId="25" fillId="0" borderId="10" xfId="9" applyFont="1" applyBorder="1"/>
    <xf numFmtId="0" fontId="25" fillId="0" borderId="41" xfId="9" applyFont="1" applyBorder="1"/>
    <xf numFmtId="3" fontId="25" fillId="0" borderId="11" xfId="9" applyNumberFormat="1" applyFont="1" applyBorder="1"/>
    <xf numFmtId="4" fontId="25" fillId="0" borderId="20" xfId="9" applyNumberFormat="1" applyFont="1" applyBorder="1"/>
    <xf numFmtId="3" fontId="25" fillId="0" borderId="10" xfId="9" applyNumberFormat="1" applyFont="1" applyBorder="1"/>
    <xf numFmtId="3" fontId="25" fillId="0" borderId="27" xfId="8" applyNumberFormat="1" applyFont="1" applyBorder="1"/>
    <xf numFmtId="3" fontId="25" fillId="0" borderId="26" xfId="8" applyNumberFormat="1" applyFont="1" applyBorder="1"/>
    <xf numFmtId="4" fontId="25" fillId="4" borderId="27" xfId="8" applyNumberFormat="1" applyFont="1" applyFill="1" applyBorder="1"/>
    <xf numFmtId="4" fontId="25" fillId="0" borderId="26" xfId="8" applyNumberFormat="1" applyFont="1" applyBorder="1"/>
    <xf numFmtId="4" fontId="25" fillId="0" borderId="11" xfId="9" applyNumberFormat="1" applyFont="1" applyBorder="1"/>
    <xf numFmtId="4" fontId="25" fillId="0" borderId="0" xfId="9" applyNumberFormat="1" applyFont="1"/>
    <xf numFmtId="0" fontId="25" fillId="0" borderId="16" xfId="9" applyFont="1" applyBorder="1"/>
    <xf numFmtId="0" fontId="25" fillId="0" borderId="42" xfId="9" applyFont="1" applyBorder="1"/>
    <xf numFmtId="3" fontId="25" fillId="0" borderId="12" xfId="9" applyNumberFormat="1" applyFont="1" applyBorder="1"/>
    <xf numFmtId="4" fontId="25" fillId="0" borderId="28" xfId="8" applyNumberFormat="1" applyFont="1" applyBorder="1"/>
    <xf numFmtId="0" fontId="25" fillId="0" borderId="17" xfId="9" applyFont="1" applyBorder="1"/>
    <xf numFmtId="0" fontId="25" fillId="0" borderId="43" xfId="9" applyFont="1" applyBorder="1"/>
    <xf numFmtId="3" fontId="25" fillId="0" borderId="18" xfId="9" applyNumberFormat="1" applyFont="1" applyBorder="1"/>
    <xf numFmtId="4" fontId="25" fillId="0" borderId="19" xfId="9" applyNumberFormat="1" applyFont="1" applyBorder="1"/>
    <xf numFmtId="3" fontId="25" fillId="0" borderId="17" xfId="9" applyNumberFormat="1" applyFont="1" applyBorder="1"/>
    <xf numFmtId="3" fontId="25" fillId="0" borderId="44" xfId="8" applyNumberFormat="1" applyFont="1" applyBorder="1"/>
    <xf numFmtId="3" fontId="25" fillId="0" borderId="45" xfId="8" applyNumberFormat="1" applyFont="1" applyBorder="1"/>
    <xf numFmtId="3" fontId="25" fillId="4" borderId="44" xfId="8" applyNumberFormat="1" applyFont="1" applyFill="1" applyBorder="1"/>
    <xf numFmtId="0" fontId="36" fillId="0" borderId="0" xfId="12" applyFont="1"/>
    <xf numFmtId="0" fontId="37" fillId="0" borderId="0" xfId="12" applyFont="1"/>
    <xf numFmtId="0" fontId="38" fillId="0" borderId="0" xfId="12" applyFont="1" applyAlignment="1">
      <alignment horizontal="left"/>
    </xf>
    <xf numFmtId="2" fontId="15" fillId="0" borderId="2" xfId="12" applyNumberFormat="1" applyFont="1" applyFill="1" applyBorder="1" applyAlignment="1">
      <alignment horizontal="center" vertical="center" wrapText="1"/>
    </xf>
    <xf numFmtId="2" fontId="15" fillId="0" borderId="1" xfId="12" applyNumberFormat="1" applyFont="1" applyFill="1" applyBorder="1" applyAlignment="1">
      <alignment horizontal="center" vertical="center" wrapText="1"/>
    </xf>
    <xf numFmtId="2" fontId="19" fillId="0" borderId="1" xfId="12" applyNumberFormat="1" applyFont="1" applyFill="1" applyBorder="1" applyAlignment="1">
      <alignment horizontal="center" vertical="center" wrapText="1"/>
    </xf>
    <xf numFmtId="2" fontId="19" fillId="0" borderId="2" xfId="12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0" fillId="0" borderId="0" xfId="0" applyFill="1"/>
    <xf numFmtId="0" fontId="36" fillId="0" borderId="0" xfId="12" applyFont="1" applyAlignment="1">
      <alignment vertical="center"/>
    </xf>
    <xf numFmtId="0" fontId="38" fillId="0" borderId="0" xfId="12" applyFont="1"/>
    <xf numFmtId="0" fontId="39" fillId="0" borderId="0" xfId="12" applyFont="1" applyAlignment="1">
      <alignment horizontal="center"/>
    </xf>
    <xf numFmtId="0" fontId="39" fillId="0" borderId="0" xfId="12" applyFont="1" applyAlignment="1">
      <alignment horizontal="center" wrapText="1"/>
    </xf>
    <xf numFmtId="0" fontId="40" fillId="0" borderId="0" xfId="12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41" fillId="0" borderId="0" xfId="12" applyFont="1" applyAlignment="1">
      <alignment horizontal="center" wrapText="1"/>
    </xf>
    <xf numFmtId="0" fontId="8" fillId="0" borderId="0" xfId="12" applyFont="1" applyAlignment="1">
      <alignment horizontal="center" wrapText="1"/>
    </xf>
    <xf numFmtId="3" fontId="29" fillId="0" borderId="12" xfId="11" applyNumberFormat="1" applyFont="1" applyBorder="1" applyAlignment="1">
      <alignment horizontal="center" vertical="center"/>
    </xf>
    <xf numFmtId="3" fontId="29" fillId="0" borderId="14" xfId="11" applyNumberFormat="1" applyFont="1" applyBorder="1" applyAlignment="1">
      <alignment horizontal="center" vertical="center"/>
    </xf>
    <xf numFmtId="3" fontId="29" fillId="0" borderId="8" xfId="11" applyNumberFormat="1" applyFont="1" applyBorder="1" applyAlignment="1">
      <alignment horizontal="center" vertical="center"/>
    </xf>
    <xf numFmtId="4" fontId="29" fillId="4" borderId="12" xfId="11" applyNumberFormat="1" applyFont="1" applyFill="1" applyBorder="1" applyAlignment="1">
      <alignment horizontal="center" vertical="center"/>
    </xf>
    <xf numFmtId="4" fontId="29" fillId="4" borderId="14" xfId="11" applyNumberFormat="1" applyFont="1" applyFill="1" applyBorder="1" applyAlignment="1">
      <alignment horizontal="center" vertical="center"/>
    </xf>
    <xf numFmtId="4" fontId="29" fillId="4" borderId="8" xfId="11" applyNumberFormat="1" applyFont="1" applyFill="1" applyBorder="1" applyAlignment="1">
      <alignment horizontal="center" vertical="center"/>
    </xf>
    <xf numFmtId="4" fontId="29" fillId="0" borderId="12" xfId="11" applyNumberFormat="1" applyFont="1" applyBorder="1" applyAlignment="1">
      <alignment horizontal="center" vertical="center"/>
    </xf>
    <xf numFmtId="4" fontId="29" fillId="0" borderId="14" xfId="11" applyNumberFormat="1" applyFont="1" applyBorder="1" applyAlignment="1">
      <alignment horizontal="center" vertical="center"/>
    </xf>
    <xf numFmtId="4" fontId="29" fillId="0" borderId="8" xfId="11" applyNumberFormat="1" applyFont="1" applyBorder="1" applyAlignment="1">
      <alignment horizontal="center" vertical="center"/>
    </xf>
    <xf numFmtId="4" fontId="29" fillId="0" borderId="13" xfId="11" applyNumberFormat="1" applyFont="1" applyBorder="1" applyAlignment="1">
      <alignment horizontal="center" vertical="center"/>
    </xf>
    <xf numFmtId="4" fontId="29" fillId="0" borderId="15" xfId="11" applyNumberFormat="1" applyFont="1" applyBorder="1" applyAlignment="1">
      <alignment horizontal="center" vertical="center"/>
    </xf>
    <xf numFmtId="4" fontId="29" fillId="0" borderId="9" xfId="11" applyNumberFormat="1" applyFont="1" applyBorder="1" applyAlignment="1">
      <alignment horizontal="center" vertical="center"/>
    </xf>
    <xf numFmtId="0" fontId="28" fillId="0" borderId="2" xfId="3" applyFont="1" applyBorder="1" applyAlignment="1">
      <alignment horizontal="center" vertical="center" wrapText="1"/>
    </xf>
    <xf numFmtId="0" fontId="28" fillId="0" borderId="22" xfId="3" applyFont="1" applyBorder="1" applyAlignment="1">
      <alignment horizontal="center" vertical="center"/>
    </xf>
    <xf numFmtId="0" fontId="28" fillId="0" borderId="23" xfId="3" applyFont="1" applyBorder="1" applyAlignment="1">
      <alignment horizontal="center" vertical="center"/>
    </xf>
    <xf numFmtId="3" fontId="29" fillId="0" borderId="10" xfId="11" applyNumberFormat="1" applyFont="1" applyBorder="1" applyAlignment="1">
      <alignment horizontal="center" vertical="center" wrapText="1"/>
    </xf>
    <xf numFmtId="0" fontId="34" fillId="0" borderId="32" xfId="9" applyFont="1" applyBorder="1" applyAlignment="1">
      <alignment horizontal="center" vertical="center"/>
    </xf>
    <xf numFmtId="0" fontId="34" fillId="0" borderId="17" xfId="9" applyFont="1" applyBorder="1" applyAlignment="1">
      <alignment horizontal="center" vertical="center"/>
    </xf>
    <xf numFmtId="0" fontId="34" fillId="0" borderId="33" xfId="9" applyFont="1" applyBorder="1" applyAlignment="1">
      <alignment horizontal="center" vertical="center" wrapText="1"/>
    </xf>
    <xf numFmtId="0" fontId="34" fillId="0" borderId="37" xfId="9" applyFont="1" applyBorder="1" applyAlignment="1">
      <alignment horizontal="center" vertical="center" wrapText="1"/>
    </xf>
    <xf numFmtId="0" fontId="34" fillId="0" borderId="34" xfId="9" applyFont="1" applyBorder="1" applyAlignment="1">
      <alignment horizontal="center" vertical="center" wrapText="1"/>
    </xf>
    <xf numFmtId="0" fontId="34" fillId="0" borderId="18" xfId="9" applyFont="1" applyBorder="1" applyAlignment="1">
      <alignment horizontal="center" vertical="center" wrapText="1"/>
    </xf>
    <xf numFmtId="0" fontId="34" fillId="0" borderId="35" xfId="9" applyFont="1" applyBorder="1" applyAlignment="1">
      <alignment horizontal="center" vertical="center" wrapText="1"/>
    </xf>
    <xf numFmtId="0" fontId="34" fillId="0" borderId="19" xfId="9" applyFont="1" applyBorder="1" applyAlignment="1">
      <alignment horizontal="center" vertical="center" wrapText="1"/>
    </xf>
    <xf numFmtId="0" fontId="34" fillId="0" borderId="32" xfId="9" applyFont="1" applyBorder="1" applyAlignment="1">
      <alignment horizontal="center" vertical="center" wrapText="1"/>
    </xf>
    <xf numFmtId="0" fontId="34" fillId="0" borderId="1" xfId="8" applyFont="1" applyBorder="1" applyAlignment="1">
      <alignment horizontal="center" vertical="center" wrapText="1"/>
    </xf>
    <xf numFmtId="0" fontId="34" fillId="0" borderId="38" xfId="8" applyFont="1" applyBorder="1" applyAlignment="1">
      <alignment horizontal="center" vertical="center" wrapText="1"/>
    </xf>
    <xf numFmtId="0" fontId="34" fillId="0" borderId="36" xfId="8" applyFont="1" applyBorder="1" applyAlignment="1">
      <alignment horizontal="center" vertical="center" wrapText="1"/>
    </xf>
    <xf numFmtId="0" fontId="34" fillId="0" borderId="39" xfId="8" applyFont="1" applyBorder="1" applyAlignment="1">
      <alignment horizontal="center" vertical="center" wrapText="1"/>
    </xf>
    <xf numFmtId="0" fontId="34" fillId="4" borderId="1" xfId="8" applyFont="1" applyFill="1" applyBorder="1" applyAlignment="1">
      <alignment horizontal="center" vertical="center" wrapText="1"/>
    </xf>
    <xf numFmtId="0" fontId="34" fillId="4" borderId="38" xfId="8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11" xfId="1"/>
    <cellStyle name="Обычный 11 2" xfId="2"/>
    <cellStyle name="Обычный 11 7" xfId="3"/>
    <cellStyle name="Обычный 2" xfId="4"/>
    <cellStyle name="Обычный 2 2" xfId="5"/>
    <cellStyle name="Обычный 2 2 3 2" xfId="6"/>
    <cellStyle name="Обычный 3 3" xfId="7"/>
    <cellStyle name="Обычный 4" xfId="8"/>
    <cellStyle name="Обычный 5" xfId="9"/>
    <cellStyle name="Обычный 83" xfId="10"/>
    <cellStyle name="Обычный_бюджет 2008 (11.02.08) на утверждение 2" xfId="11"/>
    <cellStyle name="Обычный_тарифы город=факт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zoomScale="60" workbookViewId="0">
      <selection activeCell="A6" sqref="A6:F6"/>
    </sheetView>
  </sheetViews>
  <sheetFormatPr defaultColWidth="10.33203125" defaultRowHeight="13.2" x14ac:dyDescent="0.25"/>
  <cols>
    <col min="1" max="1" width="4.6640625" customWidth="1"/>
    <col min="2" max="2" width="73" customWidth="1"/>
    <col min="3" max="3" width="18.109375" style="1" customWidth="1"/>
    <col min="4" max="4" width="20.109375" style="1" customWidth="1"/>
    <col min="5" max="7" width="20.109375" customWidth="1"/>
    <col min="8" max="8" width="10.44140625" customWidth="1"/>
  </cols>
  <sheetData>
    <row r="1" spans="1:11" ht="21" x14ac:dyDescent="0.4">
      <c r="A1" s="173"/>
      <c r="B1" s="174"/>
      <c r="C1" s="173"/>
      <c r="D1" s="173"/>
      <c r="E1" s="173"/>
      <c r="F1" s="175" t="s">
        <v>0</v>
      </c>
      <c r="G1" s="173"/>
      <c r="H1" s="4"/>
      <c r="I1" s="2"/>
      <c r="J1" s="2"/>
      <c r="K1" s="2"/>
    </row>
    <row r="2" spans="1:11" s="4" customFormat="1" ht="17.399999999999999" x14ac:dyDescent="0.3">
      <c r="A2" s="184" t="s">
        <v>1</v>
      </c>
      <c r="B2" s="184"/>
      <c r="C2" s="184"/>
      <c r="D2" s="184"/>
      <c r="E2" s="184"/>
      <c r="F2" s="184"/>
      <c r="G2" s="173"/>
    </row>
    <row r="3" spans="1:11" s="4" customFormat="1" ht="17.399999999999999" x14ac:dyDescent="0.3">
      <c r="A3" s="184" t="s">
        <v>2</v>
      </c>
      <c r="B3" s="184"/>
      <c r="C3" s="184"/>
      <c r="D3" s="184"/>
      <c r="E3" s="184"/>
      <c r="F3" s="184"/>
      <c r="G3" s="173"/>
    </row>
    <row r="4" spans="1:11" s="4" customFormat="1" ht="21" customHeight="1" x14ac:dyDescent="0.3">
      <c r="A4" s="186" t="s">
        <v>3</v>
      </c>
      <c r="B4" s="186"/>
      <c r="C4" s="186"/>
      <c r="D4" s="186"/>
      <c r="E4" s="186"/>
      <c r="F4" s="186"/>
      <c r="G4" s="173"/>
      <c r="K4" s="4" t="s">
        <v>4</v>
      </c>
    </row>
    <row r="5" spans="1:11" s="4" customFormat="1" ht="21" customHeight="1" x14ac:dyDescent="0.3">
      <c r="A5" s="187"/>
      <c r="B5" s="187"/>
      <c r="C5" s="187"/>
      <c r="D5" s="187"/>
      <c r="E5" s="187"/>
      <c r="F5" s="187"/>
      <c r="G5" s="173"/>
    </row>
    <row r="6" spans="1:11" s="4" customFormat="1" ht="17.399999999999999" x14ac:dyDescent="0.3">
      <c r="A6" s="185" t="s">
        <v>115</v>
      </c>
      <c r="B6" s="185"/>
      <c r="C6" s="185"/>
      <c r="D6" s="185"/>
      <c r="E6" s="185"/>
      <c r="F6" s="185"/>
      <c r="G6" s="173"/>
    </row>
    <row r="7" spans="1:11" s="4" customFormat="1" ht="14.4" x14ac:dyDescent="0.3">
      <c r="A7" s="2"/>
      <c r="B7" s="5" t="s">
        <v>5</v>
      </c>
      <c r="C7" s="4">
        <v>37415.199999999997</v>
      </c>
      <c r="D7" s="3"/>
      <c r="E7" s="3"/>
    </row>
    <row r="8" spans="1:11" s="4" customFormat="1" ht="58.5" customHeight="1" x14ac:dyDescent="0.3">
      <c r="A8" s="6"/>
      <c r="B8" s="7" t="s">
        <v>6</v>
      </c>
      <c r="C8" s="7" t="s">
        <v>7</v>
      </c>
      <c r="D8" s="8" t="s">
        <v>8</v>
      </c>
      <c r="E8" s="8" t="s">
        <v>9</v>
      </c>
      <c r="F8" s="8" t="s">
        <v>10</v>
      </c>
      <c r="G8" s="8" t="s">
        <v>11</v>
      </c>
    </row>
    <row r="9" spans="1:11" s="4" customFormat="1" ht="43.2" customHeight="1" x14ac:dyDescent="0.3">
      <c r="A9" s="9" t="s">
        <v>12</v>
      </c>
      <c r="B9" s="10" t="s">
        <v>13</v>
      </c>
      <c r="C9" s="9" t="s">
        <v>14</v>
      </c>
      <c r="D9" s="11">
        <f>SUM(D10:D26)</f>
        <v>46.169999999999995</v>
      </c>
      <c r="E9" s="11">
        <f>SUM(E10:E26)+0.02</f>
        <v>62.724562253763381</v>
      </c>
      <c r="F9" s="11">
        <f>E9-D9</f>
        <v>16.554562253763386</v>
      </c>
      <c r="G9" s="11">
        <f>E9/D9*100-100</f>
        <v>35.855668732431013</v>
      </c>
    </row>
    <row r="10" spans="1:11" s="12" customFormat="1" ht="43.95" customHeight="1" x14ac:dyDescent="0.25">
      <c r="A10" s="13"/>
      <c r="B10" s="14" t="s">
        <v>15</v>
      </c>
      <c r="C10" s="15" t="s">
        <v>16</v>
      </c>
      <c r="D10" s="176">
        <v>5.44</v>
      </c>
      <c r="E10" s="176">
        <v>9.8189992577644905</v>
      </c>
      <c r="F10" s="176">
        <f t="shared" ref="F10:F26" si="0">E10-D10</f>
        <v>4.3789992577644901</v>
      </c>
      <c r="G10" s="176">
        <f t="shared" ref="G10:G29" si="1">E10/D10*100-100</f>
        <v>80.496309885376661</v>
      </c>
      <c r="I10" s="16"/>
    </row>
    <row r="11" spans="1:11" s="17" customFormat="1" ht="43.95" customHeight="1" x14ac:dyDescent="0.3">
      <c r="A11" s="18"/>
      <c r="B11" s="14" t="s">
        <v>17</v>
      </c>
      <c r="C11" s="19" t="s">
        <v>18</v>
      </c>
      <c r="D11" s="177">
        <v>6.21</v>
      </c>
      <c r="E11" s="177">
        <v>6.33</v>
      </c>
      <c r="F11" s="177">
        <f t="shared" si="0"/>
        <v>0.12000000000000011</v>
      </c>
      <c r="G11" s="177">
        <f t="shared" si="1"/>
        <v>1.9323671497584627</v>
      </c>
      <c r="H11" s="4"/>
      <c r="I11" s="20"/>
      <c r="J11" s="2"/>
      <c r="K11" s="2"/>
    </row>
    <row r="12" spans="1:11" s="17" customFormat="1" ht="43.95" customHeight="1" x14ac:dyDescent="0.3">
      <c r="A12" s="21"/>
      <c r="B12" s="14" t="s">
        <v>19</v>
      </c>
      <c r="C12" s="19" t="s">
        <v>18</v>
      </c>
      <c r="D12" s="178">
        <v>4.49</v>
      </c>
      <c r="E12" s="178">
        <v>5.8482843031406784</v>
      </c>
      <c r="F12" s="178">
        <f t="shared" si="0"/>
        <v>1.3582843031406782</v>
      </c>
      <c r="G12" s="178">
        <f t="shared" si="1"/>
        <v>30.251320782643177</v>
      </c>
      <c r="H12" s="4"/>
      <c r="I12" s="20"/>
      <c r="J12" s="2"/>
      <c r="K12" s="2"/>
    </row>
    <row r="13" spans="1:11" s="17" customFormat="1" ht="43.95" customHeight="1" x14ac:dyDescent="0.3">
      <c r="A13" s="21"/>
      <c r="B13" s="14" t="s">
        <v>20</v>
      </c>
      <c r="C13" s="19" t="s">
        <v>18</v>
      </c>
      <c r="D13" s="178">
        <v>2.83</v>
      </c>
      <c r="E13" s="178">
        <v>4.3222177712641221</v>
      </c>
      <c r="F13" s="178">
        <f t="shared" si="0"/>
        <v>1.492217771264122</v>
      </c>
      <c r="G13" s="178">
        <f t="shared" si="1"/>
        <v>52.728543154209262</v>
      </c>
      <c r="H13" s="4"/>
      <c r="I13" s="20"/>
      <c r="J13" s="2"/>
      <c r="K13" s="2"/>
    </row>
    <row r="14" spans="1:11" s="17" customFormat="1" ht="43.95" customHeight="1" x14ac:dyDescent="0.3">
      <c r="A14" s="21"/>
      <c r="B14" s="22" t="s">
        <v>21</v>
      </c>
      <c r="C14" s="23" t="s">
        <v>18</v>
      </c>
      <c r="D14" s="179">
        <v>0.9</v>
      </c>
      <c r="E14" s="179">
        <v>1.4946180791832868</v>
      </c>
      <c r="F14" s="179">
        <f t="shared" si="0"/>
        <v>0.5946180791832868</v>
      </c>
      <c r="G14" s="179">
        <f t="shared" si="1"/>
        <v>66.068675464809644</v>
      </c>
      <c r="H14" s="4"/>
      <c r="I14" s="20"/>
      <c r="J14" s="2"/>
      <c r="K14" s="2"/>
    </row>
    <row r="15" spans="1:11" s="4" customFormat="1" ht="43.95" customHeight="1" x14ac:dyDescent="0.3">
      <c r="A15" s="21"/>
      <c r="B15" s="22" t="s">
        <v>22</v>
      </c>
      <c r="C15" s="23" t="s">
        <v>18</v>
      </c>
      <c r="D15" s="176">
        <v>0.72</v>
      </c>
      <c r="E15" s="179">
        <v>1.1956944633466293</v>
      </c>
      <c r="F15" s="179">
        <f t="shared" si="0"/>
        <v>0.47569446334662935</v>
      </c>
      <c r="G15" s="176">
        <f t="shared" si="1"/>
        <v>66.068675464809644</v>
      </c>
      <c r="I15" s="20"/>
    </row>
    <row r="16" spans="1:11" s="17" customFormat="1" ht="43.95" customHeight="1" x14ac:dyDescent="0.3">
      <c r="A16" s="21"/>
      <c r="B16" s="22" t="s">
        <v>23</v>
      </c>
      <c r="C16" s="23" t="s">
        <v>18</v>
      </c>
      <c r="D16" s="176">
        <v>0.36</v>
      </c>
      <c r="E16" s="179">
        <v>0.59784723167331466</v>
      </c>
      <c r="F16" s="179">
        <f t="shared" si="0"/>
        <v>0.23784723167331467</v>
      </c>
      <c r="G16" s="176">
        <f t="shared" si="1"/>
        <v>66.068675464809644</v>
      </c>
      <c r="H16" s="4"/>
      <c r="I16" s="24"/>
    </row>
    <row r="17" spans="1:9" s="17" customFormat="1" ht="43.95" customHeight="1" x14ac:dyDescent="0.3">
      <c r="A17" s="21"/>
      <c r="B17" s="22" t="s">
        <v>24</v>
      </c>
      <c r="C17" s="19" t="s">
        <v>18</v>
      </c>
      <c r="D17" s="176">
        <v>7.0000000000000007E-2</v>
      </c>
      <c r="E17" s="176">
        <v>8.8851609285995642E-2</v>
      </c>
      <c r="F17" s="176">
        <f t="shared" si="0"/>
        <v>1.8851609285995635E-2</v>
      </c>
      <c r="G17" s="176">
        <f t="shared" si="1"/>
        <v>26.930870408565184</v>
      </c>
      <c r="H17" s="4"/>
      <c r="I17" s="24"/>
    </row>
    <row r="18" spans="1:9" s="17" customFormat="1" ht="43.95" customHeight="1" x14ac:dyDescent="0.3">
      <c r="A18" s="21"/>
      <c r="B18" s="25" t="s">
        <v>25</v>
      </c>
      <c r="C18" s="19" t="s">
        <v>18</v>
      </c>
      <c r="D18" s="176">
        <v>1.1400000000000001</v>
      </c>
      <c r="E18" s="176">
        <v>1.4470119226576432</v>
      </c>
      <c r="F18" s="176">
        <f t="shared" si="0"/>
        <v>0.3070119226576431</v>
      </c>
      <c r="G18" s="176">
        <f t="shared" si="1"/>
        <v>26.930870408565184</v>
      </c>
      <c r="H18" s="4"/>
      <c r="I18" s="24"/>
    </row>
    <row r="19" spans="1:9" s="17" customFormat="1" ht="43.95" customHeight="1" x14ac:dyDescent="0.3">
      <c r="A19" s="21"/>
      <c r="B19" s="25" t="s">
        <v>26</v>
      </c>
      <c r="C19" s="19" t="s">
        <v>18</v>
      </c>
      <c r="D19" s="176">
        <v>0.06</v>
      </c>
      <c r="E19" s="176">
        <v>7.615852224513911E-2</v>
      </c>
      <c r="F19" s="176">
        <f t="shared" si="0"/>
        <v>1.6158522245139112E-2</v>
      </c>
      <c r="G19" s="176">
        <f t="shared" si="1"/>
        <v>26.930870408565184</v>
      </c>
      <c r="H19" s="4"/>
      <c r="I19" s="24"/>
    </row>
    <row r="20" spans="1:9" s="17" customFormat="1" ht="43.95" customHeight="1" x14ac:dyDescent="0.3">
      <c r="A20" s="21"/>
      <c r="B20" s="22" t="s">
        <v>27</v>
      </c>
      <c r="C20" s="23" t="s">
        <v>18</v>
      </c>
      <c r="D20" s="176">
        <v>1.88</v>
      </c>
      <c r="E20" s="176">
        <v>2.3748123677973445</v>
      </c>
      <c r="F20" s="176">
        <f t="shared" si="0"/>
        <v>0.49481236779734461</v>
      </c>
      <c r="G20" s="176">
        <f t="shared" si="1"/>
        <v>26.31980679773109</v>
      </c>
      <c r="H20" s="4"/>
      <c r="I20" s="24"/>
    </row>
    <row r="21" spans="1:9" s="17" customFormat="1" ht="43.95" customHeight="1" x14ac:dyDescent="0.3">
      <c r="A21" s="21"/>
      <c r="B21" s="22" t="s">
        <v>28</v>
      </c>
      <c r="C21" s="23" t="s">
        <v>18</v>
      </c>
      <c r="D21" s="177">
        <v>5.63</v>
      </c>
      <c r="E21" s="177">
        <v>6</v>
      </c>
      <c r="F21" s="177">
        <f t="shared" si="0"/>
        <v>0.37000000000000011</v>
      </c>
      <c r="G21" s="177">
        <f t="shared" si="1"/>
        <v>6.5719360568383678</v>
      </c>
      <c r="H21" s="4"/>
      <c r="I21" s="24"/>
    </row>
    <row r="22" spans="1:9" s="17" customFormat="1" ht="43.95" customHeight="1" x14ac:dyDescent="0.3">
      <c r="A22" s="21"/>
      <c r="B22" s="22" t="s">
        <v>29</v>
      </c>
      <c r="C22" s="23" t="s">
        <v>18</v>
      </c>
      <c r="D22" s="176">
        <v>0.45</v>
      </c>
      <c r="E22" s="176">
        <v>0.49808801312196388</v>
      </c>
      <c r="F22" s="176">
        <f t="shared" si="0"/>
        <v>4.8088013121963868E-2</v>
      </c>
      <c r="G22" s="176">
        <f t="shared" si="1"/>
        <v>10.686225138214198</v>
      </c>
      <c r="H22" s="4"/>
      <c r="I22" s="24"/>
    </row>
    <row r="23" spans="1:9" s="17" customFormat="1" ht="43.95" customHeight="1" x14ac:dyDescent="0.3">
      <c r="A23" s="21"/>
      <c r="B23" s="22" t="s">
        <v>30</v>
      </c>
      <c r="C23" s="19" t="s">
        <v>18</v>
      </c>
      <c r="D23" s="177">
        <v>14.32</v>
      </c>
      <c r="E23" s="177">
        <v>19.916290316697545</v>
      </c>
      <c r="F23" s="177">
        <f t="shared" si="0"/>
        <v>5.5962903166975444</v>
      </c>
      <c r="G23" s="177">
        <f t="shared" si="1"/>
        <v>39.080239641742622</v>
      </c>
      <c r="H23" s="4"/>
      <c r="I23" s="24"/>
    </row>
    <row r="24" spans="1:9" s="17" customFormat="1" ht="43.95" customHeight="1" x14ac:dyDescent="0.3">
      <c r="A24" s="21"/>
      <c r="B24" s="22" t="s">
        <v>31</v>
      </c>
      <c r="C24" s="19" t="s">
        <v>18</v>
      </c>
      <c r="D24" s="177">
        <v>1.2</v>
      </c>
      <c r="E24" s="177">
        <v>2.4356883955852338</v>
      </c>
      <c r="F24" s="177">
        <f t="shared" si="0"/>
        <v>1.2356883955852338</v>
      </c>
      <c r="G24" s="177">
        <f t="shared" si="1"/>
        <v>102.97403296543615</v>
      </c>
      <c r="H24" s="4"/>
      <c r="I24" s="24"/>
    </row>
    <row r="25" spans="1:9" s="26" customFormat="1" ht="43.95" customHeight="1" x14ac:dyDescent="0.25">
      <c r="A25" s="27"/>
      <c r="B25" s="22" t="s">
        <v>32</v>
      </c>
      <c r="C25" s="23" t="s">
        <v>18</v>
      </c>
      <c r="D25" s="176">
        <v>0.26</v>
      </c>
      <c r="E25" s="176">
        <v>0.26</v>
      </c>
      <c r="F25" s="176">
        <f t="shared" si="0"/>
        <v>0</v>
      </c>
      <c r="G25" s="176">
        <f t="shared" si="1"/>
        <v>0</v>
      </c>
      <c r="H25" s="12"/>
      <c r="I25" s="16"/>
    </row>
    <row r="26" spans="1:9" s="26" customFormat="1" ht="43.95" customHeight="1" x14ac:dyDescent="0.25">
      <c r="A26" s="27"/>
      <c r="B26" s="22" t="s">
        <v>33</v>
      </c>
      <c r="C26" s="23" t="s">
        <v>18</v>
      </c>
      <c r="D26" s="176">
        <v>0.21</v>
      </c>
      <c r="E26" s="176">
        <v>0</v>
      </c>
      <c r="F26" s="176">
        <f t="shared" si="0"/>
        <v>-0.21</v>
      </c>
      <c r="G26" s="176">
        <f t="shared" si="1"/>
        <v>-100</v>
      </c>
      <c r="H26" s="12"/>
      <c r="I26" s="16"/>
    </row>
    <row r="27" spans="1:9" s="17" customFormat="1" ht="24.6" customHeight="1" x14ac:dyDescent="0.25">
      <c r="D27" s="180"/>
      <c r="E27" s="180"/>
      <c r="F27" s="180"/>
      <c r="G27" s="180"/>
    </row>
    <row r="28" spans="1:9" s="2" customFormat="1" ht="43.95" customHeight="1" x14ac:dyDescent="0.3">
      <c r="A28" s="29"/>
      <c r="B28" s="22" t="s">
        <v>34</v>
      </c>
      <c r="C28" s="23" t="s">
        <v>18</v>
      </c>
      <c r="D28" s="28">
        <v>0.5</v>
      </c>
      <c r="E28" s="28">
        <v>0.5</v>
      </c>
      <c r="F28" s="28">
        <f t="shared" ref="F28:F29" si="2">D28</f>
        <v>0.5</v>
      </c>
      <c r="G28" s="28">
        <f t="shared" si="1"/>
        <v>0</v>
      </c>
      <c r="H28" s="4"/>
    </row>
    <row r="29" spans="1:9" s="26" customFormat="1" ht="43.95" customHeight="1" x14ac:dyDescent="0.25">
      <c r="A29" s="29"/>
      <c r="B29" s="22" t="s">
        <v>35</v>
      </c>
      <c r="C29" s="23" t="s">
        <v>36</v>
      </c>
      <c r="D29" s="176">
        <v>129</v>
      </c>
      <c r="E29" s="176">
        <v>159</v>
      </c>
      <c r="F29" s="176">
        <f t="shared" si="2"/>
        <v>129</v>
      </c>
      <c r="G29" s="176">
        <f t="shared" si="1"/>
        <v>23.255813953488371</v>
      </c>
      <c r="H29" s="12"/>
    </row>
    <row r="30" spans="1:9" x14ac:dyDescent="0.25">
      <c r="D30" s="181"/>
      <c r="E30" s="181"/>
      <c r="F30" s="181"/>
      <c r="G30" s="181"/>
    </row>
  </sheetData>
  <mergeCells count="4">
    <mergeCell ref="A2:F2"/>
    <mergeCell ref="A3:F3"/>
    <mergeCell ref="A6:F6"/>
    <mergeCell ref="A4:F5"/>
  </mergeCells>
  <pageMargins left="0.59055118110236204" right="0.59055118110236204" top="0.39370078740157477" bottom="0.59055118110236204" header="0.31496062992125984" footer="0.31496062992125984"/>
  <pageSetup paperSize="9" scale="59" firstPageNumber="429496729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zoomScale="60" workbookViewId="0">
      <selection activeCell="A6" sqref="A6:F6"/>
    </sheetView>
  </sheetViews>
  <sheetFormatPr defaultColWidth="10.33203125" defaultRowHeight="13.2" x14ac:dyDescent="0.25"/>
  <cols>
    <col min="1" max="1" width="4.6640625" customWidth="1"/>
    <col min="2" max="2" width="73" customWidth="1"/>
    <col min="3" max="3" width="18.109375" style="1" customWidth="1"/>
    <col min="4" max="4" width="20.109375" style="1" customWidth="1"/>
    <col min="5" max="5" width="20.109375" customWidth="1"/>
    <col min="6" max="6" width="23.6640625" customWidth="1"/>
    <col min="7" max="7" width="20.109375" customWidth="1"/>
    <col min="8" max="8" width="10.44140625" customWidth="1"/>
  </cols>
  <sheetData>
    <row r="1" spans="1:11" ht="21" x14ac:dyDescent="0.4">
      <c r="A1" s="173"/>
      <c r="B1" s="174"/>
      <c r="C1" s="173"/>
      <c r="D1" s="173"/>
      <c r="E1" s="173"/>
      <c r="F1" s="175" t="s">
        <v>0</v>
      </c>
      <c r="G1" s="4"/>
      <c r="H1" s="4"/>
      <c r="I1" s="2"/>
      <c r="J1" s="2"/>
      <c r="K1" s="2"/>
    </row>
    <row r="2" spans="1:11" s="4" customFormat="1" ht="17.399999999999999" x14ac:dyDescent="0.3">
      <c r="A2" s="184" t="s">
        <v>1</v>
      </c>
      <c r="B2" s="184"/>
      <c r="C2" s="184"/>
      <c r="D2" s="184"/>
      <c r="E2" s="184"/>
      <c r="F2" s="184"/>
    </row>
    <row r="3" spans="1:11" s="4" customFormat="1" ht="17.399999999999999" x14ac:dyDescent="0.3">
      <c r="A3" s="184" t="s">
        <v>2</v>
      </c>
      <c r="B3" s="184"/>
      <c r="C3" s="184"/>
      <c r="D3" s="184"/>
      <c r="E3" s="184"/>
      <c r="F3" s="184"/>
    </row>
    <row r="4" spans="1:11" s="4" customFormat="1" ht="21" customHeight="1" x14ac:dyDescent="0.3">
      <c r="A4" s="186" t="s">
        <v>3</v>
      </c>
      <c r="B4" s="186"/>
      <c r="C4" s="186"/>
      <c r="D4" s="186"/>
      <c r="E4" s="186"/>
      <c r="F4" s="186"/>
      <c r="K4" s="4" t="s">
        <v>4</v>
      </c>
    </row>
    <row r="5" spans="1:11" s="4" customFormat="1" ht="21" customHeight="1" x14ac:dyDescent="0.3">
      <c r="A5" s="187"/>
      <c r="B5" s="187"/>
      <c r="C5" s="187"/>
      <c r="D5" s="187"/>
      <c r="E5" s="187"/>
      <c r="F5" s="187"/>
    </row>
    <row r="6" spans="1:11" s="4" customFormat="1" ht="17.399999999999999" x14ac:dyDescent="0.3">
      <c r="A6" s="188" t="s">
        <v>116</v>
      </c>
      <c r="B6" s="189"/>
      <c r="C6" s="189"/>
      <c r="D6" s="189"/>
      <c r="E6" s="189"/>
      <c r="F6" s="189"/>
    </row>
    <row r="7" spans="1:11" s="4" customFormat="1" ht="14.4" x14ac:dyDescent="0.3">
      <c r="A7" s="2"/>
      <c r="B7" s="5" t="s">
        <v>5</v>
      </c>
      <c r="C7" s="4">
        <v>37415.199999999997</v>
      </c>
      <c r="D7" s="3"/>
      <c r="E7" s="3"/>
    </row>
    <row r="8" spans="1:11" s="4" customFormat="1" ht="58.5" customHeight="1" x14ac:dyDescent="0.3">
      <c r="A8" s="6"/>
      <c r="B8" s="7" t="s">
        <v>6</v>
      </c>
      <c r="C8" s="7" t="s">
        <v>7</v>
      </c>
      <c r="D8" s="8" t="s">
        <v>8</v>
      </c>
      <c r="E8" s="8" t="s">
        <v>9</v>
      </c>
      <c r="F8" s="8" t="s">
        <v>10</v>
      </c>
      <c r="G8" s="8" t="s">
        <v>11</v>
      </c>
    </row>
    <row r="9" spans="1:11" s="4" customFormat="1" ht="43.2" customHeight="1" x14ac:dyDescent="0.3">
      <c r="A9" s="9" t="s">
        <v>12</v>
      </c>
      <c r="B9" s="10" t="s">
        <v>13</v>
      </c>
      <c r="C9" s="9" t="s">
        <v>14</v>
      </c>
      <c r="D9" s="11">
        <f>SUM(D10:D26)</f>
        <v>46.339999999999996</v>
      </c>
      <c r="E9" s="11">
        <f>SUM(E10:E26)+0.02</f>
        <v>62.74776484161805</v>
      </c>
      <c r="F9" s="11">
        <f>E9-D9</f>
        <v>16.407764841618054</v>
      </c>
      <c r="G9" s="11">
        <f>E9/D9*100-100</f>
        <v>35.407347521834396</v>
      </c>
    </row>
    <row r="10" spans="1:11" s="12" customFormat="1" ht="43.95" customHeight="1" x14ac:dyDescent="0.25">
      <c r="A10" s="13"/>
      <c r="B10" s="14" t="s">
        <v>15</v>
      </c>
      <c r="C10" s="15" t="s">
        <v>16</v>
      </c>
      <c r="D10" s="30">
        <v>5.44</v>
      </c>
      <c r="E10" s="30">
        <v>9.8189992577644905</v>
      </c>
      <c r="F10" s="30">
        <f t="shared" ref="F10:F26" si="0">E10-D10</f>
        <v>4.3789992577644901</v>
      </c>
      <c r="G10" s="30">
        <f t="shared" ref="G10:G29" si="1">E10/D10*100-100</f>
        <v>80.496309885376661</v>
      </c>
      <c r="I10" s="16"/>
    </row>
    <row r="11" spans="1:11" s="17" customFormat="1" ht="43.95" customHeight="1" x14ac:dyDescent="0.3">
      <c r="A11" s="18"/>
      <c r="B11" s="14" t="s">
        <v>17</v>
      </c>
      <c r="C11" s="19" t="s">
        <v>18</v>
      </c>
      <c r="D11" s="31">
        <v>6.21</v>
      </c>
      <c r="E11" s="31">
        <v>6.33</v>
      </c>
      <c r="F11" s="31">
        <f t="shared" si="0"/>
        <v>0.12000000000000011</v>
      </c>
      <c r="G11" s="31">
        <f t="shared" si="1"/>
        <v>1.9323671497584627</v>
      </c>
      <c r="H11" s="4"/>
      <c r="I11" s="20"/>
      <c r="J11" s="2"/>
      <c r="K11" s="2"/>
    </row>
    <row r="12" spans="1:11" s="17" customFormat="1" ht="43.95" customHeight="1" x14ac:dyDescent="0.3">
      <c r="A12" s="21"/>
      <c r="B12" s="14" t="s">
        <v>19</v>
      </c>
      <c r="C12" s="19" t="s">
        <v>18</v>
      </c>
      <c r="D12" s="32">
        <v>4.49</v>
      </c>
      <c r="E12" s="32">
        <v>5.8482843031406784</v>
      </c>
      <c r="F12" s="32">
        <f t="shared" si="0"/>
        <v>1.3582843031406782</v>
      </c>
      <c r="G12" s="32">
        <f t="shared" si="1"/>
        <v>30.251320782643177</v>
      </c>
      <c r="H12" s="4"/>
      <c r="I12" s="20"/>
      <c r="J12" s="2"/>
      <c r="K12" s="2"/>
    </row>
    <row r="13" spans="1:11" s="17" customFormat="1" ht="43.95" customHeight="1" x14ac:dyDescent="0.3">
      <c r="A13" s="21"/>
      <c r="B13" s="14" t="s">
        <v>20</v>
      </c>
      <c r="C13" s="19" t="s">
        <v>18</v>
      </c>
      <c r="D13" s="32">
        <v>2.83</v>
      </c>
      <c r="E13" s="32">
        <v>4.3222177712641221</v>
      </c>
      <c r="F13" s="32">
        <f t="shared" si="0"/>
        <v>1.492217771264122</v>
      </c>
      <c r="G13" s="32">
        <f t="shared" si="1"/>
        <v>52.728543154209262</v>
      </c>
      <c r="H13" s="4"/>
      <c r="I13" s="20"/>
      <c r="J13" s="2"/>
      <c r="K13" s="2"/>
    </row>
    <row r="14" spans="1:11" s="17" customFormat="1" ht="43.95" customHeight="1" x14ac:dyDescent="0.3">
      <c r="A14" s="21"/>
      <c r="B14" s="22" t="s">
        <v>21</v>
      </c>
      <c r="C14" s="23" t="s">
        <v>18</v>
      </c>
      <c r="D14" s="33">
        <v>0.9</v>
      </c>
      <c r="E14" s="33">
        <v>1.4946180791832868</v>
      </c>
      <c r="F14" s="33">
        <f t="shared" si="0"/>
        <v>0.5946180791832868</v>
      </c>
      <c r="G14" s="33">
        <f t="shared" si="1"/>
        <v>66.068675464809644</v>
      </c>
      <c r="H14" s="4"/>
      <c r="I14" s="20"/>
      <c r="J14" s="2"/>
      <c r="K14" s="2"/>
    </row>
    <row r="15" spans="1:11" s="4" customFormat="1" ht="43.95" customHeight="1" x14ac:dyDescent="0.3">
      <c r="A15" s="21"/>
      <c r="B15" s="22" t="s">
        <v>22</v>
      </c>
      <c r="C15" s="23" t="s">
        <v>18</v>
      </c>
      <c r="D15" s="30">
        <v>0.72</v>
      </c>
      <c r="E15" s="33">
        <v>1.1956944633466293</v>
      </c>
      <c r="F15" s="33">
        <f t="shared" si="0"/>
        <v>0.47569446334662935</v>
      </c>
      <c r="G15" s="30">
        <f t="shared" si="1"/>
        <v>66.068675464809644</v>
      </c>
      <c r="I15" s="20"/>
    </row>
    <row r="16" spans="1:11" s="17" customFormat="1" ht="43.95" customHeight="1" x14ac:dyDescent="0.3">
      <c r="A16" s="21"/>
      <c r="B16" s="22" t="s">
        <v>23</v>
      </c>
      <c r="C16" s="23" t="s">
        <v>18</v>
      </c>
      <c r="D16" s="30">
        <v>0.36</v>
      </c>
      <c r="E16" s="33">
        <v>0.59784723167331466</v>
      </c>
      <c r="F16" s="33">
        <f t="shared" si="0"/>
        <v>0.23784723167331467</v>
      </c>
      <c r="G16" s="30">
        <f t="shared" si="1"/>
        <v>66.068675464809644</v>
      </c>
      <c r="H16" s="4"/>
      <c r="I16" s="24"/>
    </row>
    <row r="17" spans="1:9" s="17" customFormat="1" ht="43.95" customHeight="1" x14ac:dyDescent="0.3">
      <c r="A17" s="21"/>
      <c r="B17" s="22" t="s">
        <v>24</v>
      </c>
      <c r="C17" s="19" t="s">
        <v>18</v>
      </c>
      <c r="D17" s="30">
        <v>7.0000000000000007E-2</v>
      </c>
      <c r="E17" s="30">
        <v>8.8851609285995642E-2</v>
      </c>
      <c r="F17" s="30">
        <f t="shared" si="0"/>
        <v>1.8851609285995635E-2</v>
      </c>
      <c r="G17" s="30">
        <f t="shared" si="1"/>
        <v>26.930870408565184</v>
      </c>
      <c r="H17" s="4"/>
      <c r="I17" s="24"/>
    </row>
    <row r="18" spans="1:9" s="17" customFormat="1" ht="43.95" customHeight="1" x14ac:dyDescent="0.3">
      <c r="A18" s="21"/>
      <c r="B18" s="25" t="s">
        <v>25</v>
      </c>
      <c r="C18" s="19" t="s">
        <v>18</v>
      </c>
      <c r="D18" s="30">
        <v>1.1400000000000001</v>
      </c>
      <c r="E18" s="30">
        <v>1.4470119226576432</v>
      </c>
      <c r="F18" s="30">
        <f t="shared" si="0"/>
        <v>0.3070119226576431</v>
      </c>
      <c r="G18" s="30">
        <f t="shared" si="1"/>
        <v>26.930870408565184</v>
      </c>
      <c r="H18" s="4"/>
      <c r="I18" s="24"/>
    </row>
    <row r="19" spans="1:9" s="17" customFormat="1" ht="43.95" customHeight="1" x14ac:dyDescent="0.3">
      <c r="A19" s="21"/>
      <c r="B19" s="25" t="s">
        <v>26</v>
      </c>
      <c r="C19" s="19" t="s">
        <v>18</v>
      </c>
      <c r="D19" s="30">
        <v>0.06</v>
      </c>
      <c r="E19" s="30">
        <v>7.615852224513911E-2</v>
      </c>
      <c r="F19" s="30">
        <f t="shared" si="0"/>
        <v>1.6158522245139112E-2</v>
      </c>
      <c r="G19" s="30">
        <f t="shared" si="1"/>
        <v>26.930870408565184</v>
      </c>
      <c r="H19" s="4"/>
      <c r="I19" s="24"/>
    </row>
    <row r="20" spans="1:9" s="17" customFormat="1" ht="43.95" customHeight="1" x14ac:dyDescent="0.3">
      <c r="A20" s="21"/>
      <c r="B20" s="22" t="s">
        <v>27</v>
      </c>
      <c r="C20" s="23" t="s">
        <v>18</v>
      </c>
      <c r="D20" s="30">
        <v>2.0499999999999998</v>
      </c>
      <c r="E20" s="30">
        <v>2.3980149556520098</v>
      </c>
      <c r="F20" s="30">
        <f t="shared" si="0"/>
        <v>0.34801495565201002</v>
      </c>
      <c r="G20" s="30">
        <f t="shared" si="1"/>
        <v>16.976339300098047</v>
      </c>
      <c r="H20" s="4"/>
      <c r="I20" s="24"/>
    </row>
    <row r="21" spans="1:9" s="17" customFormat="1" ht="43.95" customHeight="1" x14ac:dyDescent="0.3">
      <c r="A21" s="21"/>
      <c r="B21" s="22" t="s">
        <v>28</v>
      </c>
      <c r="C21" s="23" t="s">
        <v>18</v>
      </c>
      <c r="D21" s="31">
        <v>5.63</v>
      </c>
      <c r="E21" s="31">
        <v>6</v>
      </c>
      <c r="F21" s="31">
        <f t="shared" si="0"/>
        <v>0.37000000000000011</v>
      </c>
      <c r="G21" s="31">
        <f t="shared" si="1"/>
        <v>6.5719360568383678</v>
      </c>
      <c r="H21" s="4"/>
      <c r="I21" s="24"/>
    </row>
    <row r="22" spans="1:9" s="17" customFormat="1" ht="43.95" customHeight="1" x14ac:dyDescent="0.3">
      <c r="A22" s="21"/>
      <c r="B22" s="22" t="s">
        <v>29</v>
      </c>
      <c r="C22" s="23" t="s">
        <v>18</v>
      </c>
      <c r="D22" s="30">
        <v>0.45</v>
      </c>
      <c r="E22" s="30">
        <v>0.49808801312196388</v>
      </c>
      <c r="F22" s="30">
        <f t="shared" si="0"/>
        <v>4.8088013121963868E-2</v>
      </c>
      <c r="G22" s="30">
        <f t="shared" si="1"/>
        <v>10.686225138214198</v>
      </c>
      <c r="H22" s="4"/>
      <c r="I22" s="24"/>
    </row>
    <row r="23" spans="1:9" s="17" customFormat="1" ht="43.95" customHeight="1" x14ac:dyDescent="0.3">
      <c r="A23" s="21"/>
      <c r="B23" s="22" t="s">
        <v>30</v>
      </c>
      <c r="C23" s="19" t="s">
        <v>18</v>
      </c>
      <c r="D23" s="31">
        <v>14.32</v>
      </c>
      <c r="E23" s="31">
        <v>19.916290316697545</v>
      </c>
      <c r="F23" s="31">
        <f t="shared" si="0"/>
        <v>5.5962903166975444</v>
      </c>
      <c r="G23" s="31">
        <f t="shared" si="1"/>
        <v>39.080239641742622</v>
      </c>
      <c r="H23" s="4"/>
      <c r="I23" s="24"/>
    </row>
    <row r="24" spans="1:9" s="17" customFormat="1" ht="43.95" customHeight="1" x14ac:dyDescent="0.3">
      <c r="A24" s="21"/>
      <c r="B24" s="22" t="s">
        <v>31</v>
      </c>
      <c r="C24" s="19" t="s">
        <v>18</v>
      </c>
      <c r="D24" s="31">
        <v>1.2</v>
      </c>
      <c r="E24" s="31">
        <v>2.4356883955852338</v>
      </c>
      <c r="F24" s="31">
        <f t="shared" si="0"/>
        <v>1.2356883955852338</v>
      </c>
      <c r="G24" s="31">
        <f t="shared" si="1"/>
        <v>102.97403296543615</v>
      </c>
      <c r="H24" s="4"/>
      <c r="I24" s="24"/>
    </row>
    <row r="25" spans="1:9" s="26" customFormat="1" ht="43.95" customHeight="1" x14ac:dyDescent="0.25">
      <c r="A25" s="27"/>
      <c r="B25" s="22" t="s">
        <v>32</v>
      </c>
      <c r="C25" s="23" t="s">
        <v>18</v>
      </c>
      <c r="D25" s="30">
        <v>0.26</v>
      </c>
      <c r="E25" s="30">
        <v>0.26</v>
      </c>
      <c r="F25" s="30">
        <f t="shared" si="0"/>
        <v>0</v>
      </c>
      <c r="G25" s="30">
        <f t="shared" si="1"/>
        <v>0</v>
      </c>
      <c r="H25" s="12"/>
      <c r="I25" s="16"/>
    </row>
    <row r="26" spans="1:9" s="26" customFormat="1" ht="43.95" customHeight="1" x14ac:dyDescent="0.25">
      <c r="A26" s="27"/>
      <c r="B26" s="22" t="s">
        <v>33</v>
      </c>
      <c r="C26" s="23" t="s">
        <v>18</v>
      </c>
      <c r="D26" s="30">
        <v>0.21</v>
      </c>
      <c r="E26" s="30">
        <v>0</v>
      </c>
      <c r="F26" s="30">
        <f t="shared" si="0"/>
        <v>-0.21</v>
      </c>
      <c r="G26" s="30">
        <f t="shared" si="1"/>
        <v>-100</v>
      </c>
      <c r="H26" s="12"/>
      <c r="I26" s="16"/>
    </row>
    <row r="27" spans="1:9" s="17" customFormat="1" ht="24.6" customHeight="1" x14ac:dyDescent="0.25">
      <c r="D27" s="34"/>
      <c r="E27" s="34"/>
      <c r="F27" s="34"/>
      <c r="G27" s="34"/>
    </row>
    <row r="28" spans="1:9" s="2" customFormat="1" ht="43.95" customHeight="1" x14ac:dyDescent="0.3">
      <c r="A28" s="29"/>
      <c r="B28" s="22" t="s">
        <v>34</v>
      </c>
      <c r="C28" s="23" t="s">
        <v>18</v>
      </c>
      <c r="D28" s="30">
        <v>0.5</v>
      </c>
      <c r="E28" s="30">
        <v>0.5</v>
      </c>
      <c r="F28" s="30">
        <f t="shared" ref="F28:F29" si="2">D28</f>
        <v>0.5</v>
      </c>
      <c r="G28" s="30">
        <f t="shared" si="1"/>
        <v>0</v>
      </c>
      <c r="H28" s="4"/>
    </row>
    <row r="29" spans="1:9" s="26" customFormat="1" ht="43.95" customHeight="1" x14ac:dyDescent="0.25">
      <c r="A29" s="29"/>
      <c r="B29" s="22" t="s">
        <v>35</v>
      </c>
      <c r="C29" s="23" t="s">
        <v>36</v>
      </c>
      <c r="D29" s="30">
        <v>129</v>
      </c>
      <c r="E29" s="30">
        <v>159</v>
      </c>
      <c r="F29" s="30">
        <f t="shared" si="2"/>
        <v>129</v>
      </c>
      <c r="G29" s="30">
        <f t="shared" si="1"/>
        <v>23.255813953488371</v>
      </c>
      <c r="H29" s="12"/>
    </row>
  </sheetData>
  <mergeCells count="4">
    <mergeCell ref="A2:F2"/>
    <mergeCell ref="A3:F3"/>
    <mergeCell ref="A6:F6"/>
    <mergeCell ref="A4:F5"/>
  </mergeCells>
  <pageMargins left="0.59055118110236204" right="0.59055118110236204" top="0.39370078740157477" bottom="0.59055118110236204" header="0.31496062992125984" footer="0.31496062992125984"/>
  <pageSetup paperSize="9" scale="59" firstPageNumber="4294967295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7"/>
  <sheetViews>
    <sheetView tabSelected="1" zoomScale="60" workbookViewId="0">
      <selection activeCell="A6" sqref="A6:F6"/>
    </sheetView>
  </sheetViews>
  <sheetFormatPr defaultColWidth="10.33203125" defaultRowHeight="13.2" x14ac:dyDescent="0.25"/>
  <cols>
    <col min="1" max="1" width="4.6640625" customWidth="1"/>
    <col min="2" max="2" width="73" customWidth="1"/>
    <col min="3" max="3" width="18.109375" style="1" customWidth="1"/>
    <col min="4" max="4" width="20.109375" style="1" customWidth="1"/>
    <col min="5" max="5" width="20.109375" customWidth="1"/>
    <col min="6" max="6" width="23.109375" customWidth="1"/>
    <col min="7" max="7" width="20.109375" customWidth="1"/>
    <col min="8" max="8" width="10.44140625" customWidth="1"/>
  </cols>
  <sheetData>
    <row r="1" spans="1:11" ht="21" x14ac:dyDescent="0.4">
      <c r="A1" s="173"/>
      <c r="B1" s="174"/>
      <c r="C1" s="173"/>
      <c r="D1" s="173"/>
      <c r="E1" s="173"/>
      <c r="F1" s="175" t="s">
        <v>0</v>
      </c>
      <c r="G1" s="4"/>
      <c r="H1" s="4"/>
      <c r="I1" s="2"/>
      <c r="J1" s="2"/>
      <c r="K1" s="2"/>
    </row>
    <row r="2" spans="1:11" s="4" customFormat="1" ht="17.399999999999999" x14ac:dyDescent="0.3">
      <c r="A2" s="184" t="s">
        <v>1</v>
      </c>
      <c r="B2" s="184"/>
      <c r="C2" s="184"/>
      <c r="D2" s="184"/>
      <c r="E2" s="184"/>
      <c r="F2" s="184"/>
    </row>
    <row r="3" spans="1:11" s="4" customFormat="1" ht="17.399999999999999" x14ac:dyDescent="0.3">
      <c r="A3" s="184" t="s">
        <v>2</v>
      </c>
      <c r="B3" s="184"/>
      <c r="C3" s="184"/>
      <c r="D3" s="184"/>
      <c r="E3" s="184"/>
      <c r="F3" s="184"/>
    </row>
    <row r="4" spans="1:11" s="4" customFormat="1" ht="21" customHeight="1" x14ac:dyDescent="0.3">
      <c r="A4" s="186" t="s">
        <v>3</v>
      </c>
      <c r="B4" s="186"/>
      <c r="C4" s="186"/>
      <c r="D4" s="186"/>
      <c r="E4" s="186"/>
      <c r="F4" s="186"/>
      <c r="K4" s="4" t="s">
        <v>4</v>
      </c>
    </row>
    <row r="5" spans="1:11" s="4" customFormat="1" ht="21" customHeight="1" x14ac:dyDescent="0.3">
      <c r="A5" s="187"/>
      <c r="B5" s="187"/>
      <c r="C5" s="187"/>
      <c r="D5" s="187"/>
      <c r="E5" s="187"/>
      <c r="F5" s="187"/>
    </row>
    <row r="6" spans="1:11" s="4" customFormat="1" ht="17.399999999999999" x14ac:dyDescent="0.3">
      <c r="A6" s="188" t="s">
        <v>117</v>
      </c>
      <c r="B6" s="189"/>
      <c r="C6" s="189"/>
      <c r="D6" s="189"/>
      <c r="E6" s="189"/>
      <c r="F6" s="189"/>
    </row>
    <row r="7" spans="1:11" s="4" customFormat="1" ht="14.4" x14ac:dyDescent="0.3">
      <c r="A7" s="2"/>
      <c r="B7" s="5" t="s">
        <v>5</v>
      </c>
      <c r="C7" s="4">
        <v>37415.199999999997</v>
      </c>
      <c r="D7" s="3"/>
      <c r="E7" s="3"/>
    </row>
    <row r="8" spans="1:11" s="4" customFormat="1" ht="58.5" customHeight="1" x14ac:dyDescent="0.3">
      <c r="A8" s="6"/>
      <c r="B8" s="7" t="s">
        <v>6</v>
      </c>
      <c r="C8" s="7" t="s">
        <v>7</v>
      </c>
      <c r="D8" s="8" t="s">
        <v>8</v>
      </c>
      <c r="E8" s="8" t="s">
        <v>9</v>
      </c>
      <c r="F8" s="8" t="s">
        <v>10</v>
      </c>
      <c r="G8" s="8" t="s">
        <v>11</v>
      </c>
    </row>
    <row r="9" spans="1:11" s="4" customFormat="1" ht="43.2" customHeight="1" x14ac:dyDescent="0.3">
      <c r="A9" s="9" t="s">
        <v>12</v>
      </c>
      <c r="B9" s="10" t="s">
        <v>13</v>
      </c>
      <c r="C9" s="9" t="s">
        <v>14</v>
      </c>
      <c r="D9" s="11">
        <f>SUM(D10:D26)</f>
        <v>46.169999999999995</v>
      </c>
      <c r="E9" s="11">
        <f>SUM(E10:E26)+0.02</f>
        <v>62.764126051889974</v>
      </c>
      <c r="F9" s="11">
        <f>E9-D9</f>
        <v>16.59412605188998</v>
      </c>
      <c r="G9" s="11">
        <f>E9/D9*100-100</f>
        <v>35.941360302988926</v>
      </c>
    </row>
    <row r="10" spans="1:11" s="12" customFormat="1" ht="43.95" customHeight="1" x14ac:dyDescent="0.25">
      <c r="A10" s="13"/>
      <c r="B10" s="14" t="s">
        <v>15</v>
      </c>
      <c r="C10" s="15" t="s">
        <v>16</v>
      </c>
      <c r="D10" s="30">
        <v>5.44</v>
      </c>
      <c r="E10" s="30">
        <v>9.8189992577644905</v>
      </c>
      <c r="F10" s="30">
        <f t="shared" ref="F10:F26" si="0">E10-D10</f>
        <v>4.3789992577644901</v>
      </c>
      <c r="G10" s="30">
        <f t="shared" ref="G10:G29" si="1">E10/D10*100-100</f>
        <v>80.496309885376661</v>
      </c>
      <c r="I10" s="16"/>
    </row>
    <row r="11" spans="1:11" s="17" customFormat="1" ht="43.95" customHeight="1" x14ac:dyDescent="0.3">
      <c r="A11" s="18"/>
      <c r="B11" s="14" t="s">
        <v>17</v>
      </c>
      <c r="C11" s="19" t="s">
        <v>18</v>
      </c>
      <c r="D11" s="31">
        <v>6.21</v>
      </c>
      <c r="E11" s="31">
        <v>6.33</v>
      </c>
      <c r="F11" s="31">
        <f t="shared" si="0"/>
        <v>0.12000000000000011</v>
      </c>
      <c r="G11" s="31">
        <f t="shared" si="1"/>
        <v>1.9323671497584627</v>
      </c>
      <c r="H11" s="4"/>
      <c r="I11" s="20"/>
      <c r="J11" s="2"/>
      <c r="K11" s="2"/>
    </row>
    <row r="12" spans="1:11" s="17" customFormat="1" ht="43.95" customHeight="1" x14ac:dyDescent="0.3">
      <c r="A12" s="21"/>
      <c r="B12" s="14" t="s">
        <v>19</v>
      </c>
      <c r="C12" s="19" t="s">
        <v>18</v>
      </c>
      <c r="D12" s="32">
        <v>4.49</v>
      </c>
      <c r="E12" s="32">
        <v>5.8482843031406784</v>
      </c>
      <c r="F12" s="32">
        <f t="shared" si="0"/>
        <v>1.3582843031406782</v>
      </c>
      <c r="G12" s="32">
        <f t="shared" si="1"/>
        <v>30.251320782643177</v>
      </c>
      <c r="H12" s="4"/>
      <c r="I12" s="20"/>
      <c r="J12" s="2"/>
      <c r="K12" s="2"/>
    </row>
    <row r="13" spans="1:11" s="17" customFormat="1" ht="43.95" customHeight="1" x14ac:dyDescent="0.3">
      <c r="A13" s="21"/>
      <c r="B13" s="14" t="s">
        <v>20</v>
      </c>
      <c r="C13" s="19" t="s">
        <v>18</v>
      </c>
      <c r="D13" s="32">
        <v>2.83</v>
      </c>
      <c r="E13" s="32">
        <v>4.3222177712641221</v>
      </c>
      <c r="F13" s="32">
        <f t="shared" si="0"/>
        <v>1.492217771264122</v>
      </c>
      <c r="G13" s="32">
        <f t="shared" si="1"/>
        <v>52.728543154209262</v>
      </c>
      <c r="H13" s="4"/>
      <c r="I13" s="20"/>
      <c r="J13" s="2"/>
      <c r="K13" s="2"/>
    </row>
    <row r="14" spans="1:11" s="17" customFormat="1" ht="43.95" customHeight="1" x14ac:dyDescent="0.3">
      <c r="A14" s="21"/>
      <c r="B14" s="22" t="s">
        <v>21</v>
      </c>
      <c r="C14" s="23" t="s">
        <v>18</v>
      </c>
      <c r="D14" s="33">
        <v>0.9</v>
      </c>
      <c r="E14" s="33">
        <v>1.4946180791832868</v>
      </c>
      <c r="F14" s="33">
        <f t="shared" si="0"/>
        <v>0.5946180791832868</v>
      </c>
      <c r="G14" s="33">
        <f t="shared" si="1"/>
        <v>66.068675464809644</v>
      </c>
      <c r="H14" s="4"/>
      <c r="I14" s="20"/>
      <c r="J14" s="2"/>
      <c r="K14" s="2"/>
    </row>
    <row r="15" spans="1:11" s="4" customFormat="1" ht="43.95" customHeight="1" x14ac:dyDescent="0.3">
      <c r="A15" s="21"/>
      <c r="B15" s="22" t="s">
        <v>22</v>
      </c>
      <c r="C15" s="23" t="s">
        <v>18</v>
      </c>
      <c r="D15" s="30">
        <v>0.72</v>
      </c>
      <c r="E15" s="33">
        <v>1.1956944633466293</v>
      </c>
      <c r="F15" s="33">
        <f t="shared" si="0"/>
        <v>0.47569446334662935</v>
      </c>
      <c r="G15" s="30">
        <f t="shared" si="1"/>
        <v>66.068675464809644</v>
      </c>
      <c r="I15" s="20"/>
    </row>
    <row r="16" spans="1:11" s="17" customFormat="1" ht="43.95" customHeight="1" x14ac:dyDescent="0.3">
      <c r="A16" s="21"/>
      <c r="B16" s="22" t="s">
        <v>23</v>
      </c>
      <c r="C16" s="23" t="s">
        <v>18</v>
      </c>
      <c r="D16" s="30">
        <v>0.36</v>
      </c>
      <c r="E16" s="33">
        <v>0.59784723167331466</v>
      </c>
      <c r="F16" s="33">
        <f t="shared" si="0"/>
        <v>0.23784723167331467</v>
      </c>
      <c r="G16" s="30">
        <f t="shared" si="1"/>
        <v>66.068675464809644</v>
      </c>
      <c r="H16" s="4"/>
      <c r="I16" s="24"/>
    </row>
    <row r="17" spans="1:9" s="17" customFormat="1" ht="43.95" customHeight="1" x14ac:dyDescent="0.3">
      <c r="A17" s="21"/>
      <c r="B17" s="22" t="s">
        <v>24</v>
      </c>
      <c r="C17" s="19" t="s">
        <v>18</v>
      </c>
      <c r="D17" s="30">
        <v>7.0000000000000007E-2</v>
      </c>
      <c r="E17" s="30">
        <v>8.8851609285995642E-2</v>
      </c>
      <c r="F17" s="30">
        <f t="shared" si="0"/>
        <v>1.8851609285995635E-2</v>
      </c>
      <c r="G17" s="30">
        <f t="shared" si="1"/>
        <v>26.930870408565184</v>
      </c>
      <c r="H17" s="4"/>
      <c r="I17" s="24"/>
    </row>
    <row r="18" spans="1:9" s="17" customFormat="1" ht="43.95" customHeight="1" x14ac:dyDescent="0.3">
      <c r="A18" s="21"/>
      <c r="B18" s="25" t="s">
        <v>25</v>
      </c>
      <c r="C18" s="19" t="s">
        <v>18</v>
      </c>
      <c r="D18" s="30">
        <v>1.1400000000000001</v>
      </c>
      <c r="E18" s="30">
        <v>1.4470119226576432</v>
      </c>
      <c r="F18" s="30">
        <f t="shared" si="0"/>
        <v>0.3070119226576431</v>
      </c>
      <c r="G18" s="30">
        <f t="shared" si="1"/>
        <v>26.930870408565184</v>
      </c>
      <c r="H18" s="4"/>
      <c r="I18" s="24"/>
    </row>
    <row r="19" spans="1:9" s="17" customFormat="1" ht="43.95" customHeight="1" x14ac:dyDescent="0.3">
      <c r="A19" s="21"/>
      <c r="B19" s="25" t="s">
        <v>26</v>
      </c>
      <c r="C19" s="19" t="s">
        <v>18</v>
      </c>
      <c r="D19" s="30">
        <v>0.06</v>
      </c>
      <c r="E19" s="30">
        <v>7.615852224513911E-2</v>
      </c>
      <c r="F19" s="30">
        <f t="shared" si="0"/>
        <v>1.6158522245139112E-2</v>
      </c>
      <c r="G19" s="30">
        <f t="shared" si="1"/>
        <v>26.930870408565184</v>
      </c>
      <c r="H19" s="4"/>
      <c r="I19" s="24"/>
    </row>
    <row r="20" spans="1:9" s="17" customFormat="1" ht="43.95" customHeight="1" x14ac:dyDescent="0.3">
      <c r="A20" s="21"/>
      <c r="B20" s="22" t="s">
        <v>27</v>
      </c>
      <c r="C20" s="23" t="s">
        <v>18</v>
      </c>
      <c r="D20" s="30">
        <v>1.88</v>
      </c>
      <c r="E20" s="30">
        <v>2.41437616592393</v>
      </c>
      <c r="F20" s="30">
        <f t="shared" si="0"/>
        <v>0.53437616592393011</v>
      </c>
      <c r="G20" s="30">
        <f t="shared" si="1"/>
        <v>28.424264144889889</v>
      </c>
      <c r="H20" s="4"/>
      <c r="I20" s="24"/>
    </row>
    <row r="21" spans="1:9" s="17" customFormat="1" ht="43.95" customHeight="1" x14ac:dyDescent="0.3">
      <c r="A21" s="21"/>
      <c r="B21" s="22" t="s">
        <v>28</v>
      </c>
      <c r="C21" s="23" t="s">
        <v>18</v>
      </c>
      <c r="D21" s="31">
        <v>5.63</v>
      </c>
      <c r="E21" s="31">
        <v>6</v>
      </c>
      <c r="F21" s="31">
        <f t="shared" si="0"/>
        <v>0.37000000000000011</v>
      </c>
      <c r="G21" s="31">
        <f t="shared" si="1"/>
        <v>6.5719360568383678</v>
      </c>
      <c r="H21" s="4"/>
      <c r="I21" s="24"/>
    </row>
    <row r="22" spans="1:9" s="17" customFormat="1" ht="43.95" customHeight="1" x14ac:dyDescent="0.3">
      <c r="A22" s="21"/>
      <c r="B22" s="22" t="s">
        <v>29</v>
      </c>
      <c r="C22" s="23" t="s">
        <v>18</v>
      </c>
      <c r="D22" s="30">
        <v>0.45</v>
      </c>
      <c r="E22" s="30">
        <v>0.49808801312196388</v>
      </c>
      <c r="F22" s="30">
        <f t="shared" si="0"/>
        <v>4.8088013121963868E-2</v>
      </c>
      <c r="G22" s="30">
        <f t="shared" si="1"/>
        <v>10.686225138214198</v>
      </c>
      <c r="H22" s="4"/>
      <c r="I22" s="24"/>
    </row>
    <row r="23" spans="1:9" s="17" customFormat="1" ht="43.95" customHeight="1" x14ac:dyDescent="0.3">
      <c r="A23" s="21"/>
      <c r="B23" s="22" t="s">
        <v>30</v>
      </c>
      <c r="C23" s="19" t="s">
        <v>18</v>
      </c>
      <c r="D23" s="31">
        <v>14.32</v>
      </c>
      <c r="E23" s="31">
        <v>19.916290316697545</v>
      </c>
      <c r="F23" s="31">
        <f t="shared" si="0"/>
        <v>5.5962903166975444</v>
      </c>
      <c r="G23" s="31">
        <f t="shared" si="1"/>
        <v>39.080239641742622</v>
      </c>
      <c r="H23" s="4"/>
      <c r="I23" s="24"/>
    </row>
    <row r="24" spans="1:9" s="17" customFormat="1" ht="43.95" customHeight="1" x14ac:dyDescent="0.3">
      <c r="A24" s="21"/>
      <c r="B24" s="22" t="s">
        <v>31</v>
      </c>
      <c r="C24" s="19" t="s">
        <v>18</v>
      </c>
      <c r="D24" s="31">
        <v>1.2</v>
      </c>
      <c r="E24" s="31">
        <v>2.4356883955852338</v>
      </c>
      <c r="F24" s="31">
        <f t="shared" si="0"/>
        <v>1.2356883955852338</v>
      </c>
      <c r="G24" s="31">
        <f t="shared" si="1"/>
        <v>102.97403296543615</v>
      </c>
      <c r="H24" s="4"/>
      <c r="I24" s="24"/>
    </row>
    <row r="25" spans="1:9" s="26" customFormat="1" ht="43.95" customHeight="1" x14ac:dyDescent="0.25">
      <c r="A25" s="27"/>
      <c r="B25" s="22" t="s">
        <v>32</v>
      </c>
      <c r="C25" s="23" t="s">
        <v>18</v>
      </c>
      <c r="D25" s="30">
        <v>0.26</v>
      </c>
      <c r="E25" s="30">
        <v>0.26</v>
      </c>
      <c r="F25" s="30">
        <f t="shared" si="0"/>
        <v>0</v>
      </c>
      <c r="G25" s="30">
        <f t="shared" si="1"/>
        <v>0</v>
      </c>
      <c r="H25" s="12"/>
      <c r="I25" s="16"/>
    </row>
    <row r="26" spans="1:9" s="26" customFormat="1" ht="43.95" customHeight="1" x14ac:dyDescent="0.25">
      <c r="A26" s="27"/>
      <c r="B26" s="22" t="s">
        <v>33</v>
      </c>
      <c r="C26" s="23" t="s">
        <v>18</v>
      </c>
      <c r="D26" s="30">
        <v>0.21</v>
      </c>
      <c r="E26" s="30">
        <v>0</v>
      </c>
      <c r="F26" s="30">
        <f t="shared" si="0"/>
        <v>-0.21</v>
      </c>
      <c r="G26" s="30">
        <f t="shared" si="1"/>
        <v>-100</v>
      </c>
      <c r="H26" s="12"/>
      <c r="I26" s="16"/>
    </row>
    <row r="27" spans="1:9" s="17" customFormat="1" ht="24.6" customHeight="1" x14ac:dyDescent="0.25">
      <c r="D27" s="34"/>
      <c r="E27" s="34"/>
      <c r="F27" s="34"/>
      <c r="G27" s="34"/>
    </row>
    <row r="28" spans="1:9" s="2" customFormat="1" ht="43.95" customHeight="1" x14ac:dyDescent="0.3">
      <c r="A28" s="29"/>
      <c r="B28" s="22" t="s">
        <v>34</v>
      </c>
      <c r="C28" s="23" t="s">
        <v>18</v>
      </c>
      <c r="D28" s="30">
        <v>0.5</v>
      </c>
      <c r="E28" s="30">
        <v>0.5</v>
      </c>
      <c r="F28" s="30">
        <f t="shared" ref="F28:F29" si="2">D28</f>
        <v>0.5</v>
      </c>
      <c r="G28" s="30">
        <f t="shared" si="1"/>
        <v>0</v>
      </c>
      <c r="H28" s="4"/>
    </row>
    <row r="29" spans="1:9" s="26" customFormat="1" ht="43.95" customHeight="1" x14ac:dyDescent="0.25">
      <c r="A29" s="29"/>
      <c r="B29" s="22" t="s">
        <v>35</v>
      </c>
      <c r="C29" s="23" t="s">
        <v>36</v>
      </c>
      <c r="D29" s="30">
        <v>129</v>
      </c>
      <c r="E29" s="30">
        <v>159</v>
      </c>
      <c r="F29" s="30">
        <f t="shared" si="2"/>
        <v>129</v>
      </c>
      <c r="G29" s="30">
        <f t="shared" si="1"/>
        <v>23.255813953488371</v>
      </c>
      <c r="H29" s="12"/>
    </row>
    <row r="30" spans="1:9" x14ac:dyDescent="0.25">
      <c r="D30" s="35"/>
      <c r="E30" s="35"/>
      <c r="F30" s="35"/>
      <c r="G30" s="35"/>
    </row>
    <row r="31" spans="1:9" x14ac:dyDescent="0.25">
      <c r="D31" s="35"/>
      <c r="E31" s="35"/>
      <c r="F31" s="35"/>
      <c r="G31" s="35"/>
    </row>
    <row r="32" spans="1:9" x14ac:dyDescent="0.25">
      <c r="D32" s="35"/>
      <c r="E32" s="35"/>
      <c r="F32" s="35"/>
      <c r="G32" s="35"/>
    </row>
    <row r="33" spans="4:7" x14ac:dyDescent="0.25">
      <c r="D33" s="35"/>
      <c r="E33" s="35"/>
      <c r="F33" s="35"/>
      <c r="G33" s="35"/>
    </row>
    <row r="34" spans="4:7" x14ac:dyDescent="0.25">
      <c r="D34" s="35"/>
      <c r="E34" s="35"/>
      <c r="F34" s="35"/>
      <c r="G34" s="35"/>
    </row>
    <row r="35" spans="4:7" x14ac:dyDescent="0.25">
      <c r="D35" s="35"/>
      <c r="E35" s="35"/>
      <c r="F35" s="35"/>
      <c r="G35" s="35"/>
    </row>
    <row r="36" spans="4:7" x14ac:dyDescent="0.25">
      <c r="D36" s="35"/>
      <c r="E36" s="35"/>
      <c r="F36" s="35"/>
      <c r="G36" s="35"/>
    </row>
    <row r="37" spans="4:7" x14ac:dyDescent="0.25">
      <c r="D37" s="35"/>
      <c r="E37" s="35"/>
      <c r="F37" s="35"/>
      <c r="G37" s="35"/>
    </row>
    <row r="38" spans="4:7" x14ac:dyDescent="0.25">
      <c r="D38" s="35"/>
      <c r="E38" s="35"/>
      <c r="F38" s="35"/>
      <c r="G38" s="35"/>
    </row>
    <row r="39" spans="4:7" x14ac:dyDescent="0.25">
      <c r="D39" s="35"/>
      <c r="E39" s="35"/>
      <c r="F39" s="35"/>
      <c r="G39" s="35"/>
    </row>
    <row r="40" spans="4:7" x14ac:dyDescent="0.25">
      <c r="D40" s="35"/>
      <c r="E40" s="35"/>
      <c r="F40" s="35"/>
      <c r="G40" s="35"/>
    </row>
    <row r="41" spans="4:7" x14ac:dyDescent="0.25">
      <c r="D41" s="35"/>
      <c r="E41" s="35"/>
      <c r="F41" s="35"/>
      <c r="G41" s="35"/>
    </row>
    <row r="42" spans="4:7" x14ac:dyDescent="0.25">
      <c r="D42" s="35"/>
      <c r="E42" s="35"/>
      <c r="F42" s="35"/>
      <c r="G42" s="35"/>
    </row>
    <row r="43" spans="4:7" x14ac:dyDescent="0.25">
      <c r="D43" s="35"/>
      <c r="E43" s="35"/>
      <c r="F43" s="35"/>
      <c r="G43" s="35"/>
    </row>
    <row r="44" spans="4:7" x14ac:dyDescent="0.25">
      <c r="D44" s="35"/>
      <c r="E44" s="35"/>
      <c r="F44" s="35"/>
      <c r="G44" s="35"/>
    </row>
    <row r="45" spans="4:7" x14ac:dyDescent="0.25">
      <c r="D45" s="35"/>
      <c r="E45" s="35"/>
      <c r="F45" s="35"/>
      <c r="G45" s="35"/>
    </row>
    <row r="46" spans="4:7" x14ac:dyDescent="0.25">
      <c r="D46" s="35"/>
      <c r="E46" s="35"/>
      <c r="F46" s="35"/>
      <c r="G46" s="35"/>
    </row>
    <row r="47" spans="4:7" x14ac:dyDescent="0.25">
      <c r="D47" s="35"/>
      <c r="E47" s="35"/>
      <c r="F47" s="35"/>
      <c r="G47" s="35"/>
    </row>
    <row r="48" spans="4:7" x14ac:dyDescent="0.25">
      <c r="D48" s="35"/>
      <c r="E48" s="35"/>
      <c r="F48" s="35"/>
      <c r="G48" s="35"/>
    </row>
    <row r="49" spans="4:7" x14ac:dyDescent="0.25">
      <c r="D49" s="35"/>
      <c r="E49" s="35"/>
      <c r="F49" s="35"/>
      <c r="G49" s="35"/>
    </row>
    <row r="50" spans="4:7" x14ac:dyDescent="0.25">
      <c r="D50" s="35"/>
      <c r="E50" s="35"/>
      <c r="F50" s="35"/>
      <c r="G50" s="35"/>
    </row>
    <row r="51" spans="4:7" x14ac:dyDescent="0.25">
      <c r="D51" s="35"/>
      <c r="E51" s="35"/>
      <c r="F51" s="35"/>
      <c r="G51" s="35"/>
    </row>
    <row r="52" spans="4:7" x14ac:dyDescent="0.25">
      <c r="D52" s="35"/>
      <c r="E52" s="35"/>
      <c r="F52" s="35"/>
      <c r="G52" s="35"/>
    </row>
    <row r="53" spans="4:7" x14ac:dyDescent="0.25">
      <c r="D53" s="35"/>
      <c r="E53" s="35"/>
      <c r="F53" s="35"/>
      <c r="G53" s="35"/>
    </row>
    <row r="54" spans="4:7" x14ac:dyDescent="0.25">
      <c r="D54" s="35"/>
      <c r="E54" s="35"/>
      <c r="F54" s="35"/>
      <c r="G54" s="35"/>
    </row>
    <row r="55" spans="4:7" x14ac:dyDescent="0.25">
      <c r="D55" s="35"/>
      <c r="E55" s="35"/>
      <c r="F55" s="35"/>
      <c r="G55" s="35"/>
    </row>
    <row r="56" spans="4:7" x14ac:dyDescent="0.25">
      <c r="D56" s="35"/>
      <c r="E56" s="35"/>
      <c r="F56" s="35"/>
      <c r="G56" s="35"/>
    </row>
    <row r="57" spans="4:7" x14ac:dyDescent="0.25">
      <c r="D57" s="35"/>
      <c r="E57" s="35"/>
      <c r="F57" s="35"/>
      <c r="G57" s="35"/>
    </row>
    <row r="58" spans="4:7" x14ac:dyDescent="0.25">
      <c r="D58" s="35"/>
      <c r="E58" s="35"/>
      <c r="F58" s="35"/>
      <c r="G58" s="35"/>
    </row>
    <row r="59" spans="4:7" x14ac:dyDescent="0.25">
      <c r="D59" s="35"/>
      <c r="E59" s="35"/>
      <c r="F59" s="35"/>
      <c r="G59" s="35"/>
    </row>
    <row r="60" spans="4:7" x14ac:dyDescent="0.25">
      <c r="D60" s="35"/>
      <c r="E60" s="35"/>
      <c r="F60" s="35"/>
      <c r="G60" s="35"/>
    </row>
    <row r="61" spans="4:7" x14ac:dyDescent="0.25">
      <c r="D61" s="35"/>
      <c r="E61" s="35"/>
      <c r="F61" s="35"/>
      <c r="G61" s="35"/>
    </row>
    <row r="62" spans="4:7" x14ac:dyDescent="0.25">
      <c r="D62" s="35"/>
      <c r="E62" s="35"/>
      <c r="F62" s="35"/>
      <c r="G62" s="35"/>
    </row>
    <row r="63" spans="4:7" x14ac:dyDescent="0.25">
      <c r="D63" s="35"/>
      <c r="E63" s="35"/>
      <c r="F63" s="35"/>
      <c r="G63" s="35"/>
    </row>
    <row r="64" spans="4:7" x14ac:dyDescent="0.25">
      <c r="D64" s="35"/>
      <c r="E64" s="35"/>
      <c r="F64" s="35"/>
      <c r="G64" s="35"/>
    </row>
    <row r="65" spans="4:7" x14ac:dyDescent="0.25">
      <c r="D65" s="35"/>
      <c r="E65" s="35"/>
      <c r="F65" s="35"/>
      <c r="G65" s="35"/>
    </row>
    <row r="66" spans="4:7" x14ac:dyDescent="0.25">
      <c r="D66" s="35"/>
      <c r="E66" s="35"/>
      <c r="F66" s="35"/>
      <c r="G66" s="35"/>
    </row>
    <row r="67" spans="4:7" x14ac:dyDescent="0.25">
      <c r="D67" s="35"/>
      <c r="E67" s="35"/>
      <c r="F67" s="35"/>
      <c r="G67" s="35"/>
    </row>
    <row r="68" spans="4:7" x14ac:dyDescent="0.25">
      <c r="D68" s="35"/>
      <c r="E68" s="35"/>
      <c r="F68" s="35"/>
      <c r="G68" s="35"/>
    </row>
    <row r="69" spans="4:7" x14ac:dyDescent="0.25">
      <c r="D69" s="35"/>
      <c r="E69" s="35"/>
      <c r="F69" s="35"/>
      <c r="G69" s="35"/>
    </row>
    <row r="70" spans="4:7" x14ac:dyDescent="0.25">
      <c r="D70" s="35"/>
      <c r="E70" s="35"/>
      <c r="F70" s="35"/>
      <c r="G70" s="35"/>
    </row>
    <row r="71" spans="4:7" x14ac:dyDescent="0.25">
      <c r="D71" s="35"/>
      <c r="E71" s="35"/>
      <c r="F71" s="35"/>
      <c r="G71" s="35"/>
    </row>
    <row r="72" spans="4:7" x14ac:dyDescent="0.25">
      <c r="D72" s="35"/>
      <c r="E72" s="35"/>
      <c r="F72" s="35"/>
      <c r="G72" s="35"/>
    </row>
    <row r="73" spans="4:7" x14ac:dyDescent="0.25">
      <c r="D73" s="35"/>
      <c r="E73" s="35"/>
      <c r="F73" s="35"/>
      <c r="G73" s="35"/>
    </row>
    <row r="74" spans="4:7" x14ac:dyDescent="0.25">
      <c r="D74" s="35"/>
      <c r="E74" s="35"/>
      <c r="F74" s="35"/>
      <c r="G74" s="35"/>
    </row>
    <row r="75" spans="4:7" x14ac:dyDescent="0.25">
      <c r="D75" s="35"/>
      <c r="E75" s="35"/>
      <c r="F75" s="35"/>
      <c r="G75" s="35"/>
    </row>
    <row r="76" spans="4:7" x14ac:dyDescent="0.25">
      <c r="D76" s="35"/>
      <c r="E76" s="35"/>
      <c r="F76" s="35"/>
      <c r="G76" s="35"/>
    </row>
    <row r="77" spans="4:7" x14ac:dyDescent="0.25">
      <c r="D77" s="35"/>
      <c r="E77" s="35"/>
      <c r="F77" s="35"/>
      <c r="G77" s="35"/>
    </row>
    <row r="78" spans="4:7" x14ac:dyDescent="0.25">
      <c r="D78" s="35"/>
      <c r="E78" s="35"/>
      <c r="F78" s="35"/>
      <c r="G78" s="35"/>
    </row>
    <row r="79" spans="4:7" x14ac:dyDescent="0.25">
      <c r="D79" s="35"/>
      <c r="E79" s="35"/>
      <c r="F79" s="35"/>
      <c r="G79" s="35"/>
    </row>
    <row r="80" spans="4:7" x14ac:dyDescent="0.25">
      <c r="D80" s="35"/>
      <c r="E80" s="35"/>
      <c r="F80" s="35"/>
      <c r="G80" s="35"/>
    </row>
    <row r="81" spans="4:7" x14ac:dyDescent="0.25">
      <c r="D81" s="35"/>
      <c r="E81" s="35"/>
      <c r="F81" s="35"/>
      <c r="G81" s="35"/>
    </row>
    <row r="82" spans="4:7" x14ac:dyDescent="0.25">
      <c r="D82" s="35"/>
      <c r="E82" s="35"/>
      <c r="F82" s="35"/>
      <c r="G82" s="35"/>
    </row>
    <row r="83" spans="4:7" x14ac:dyDescent="0.25">
      <c r="D83" s="35"/>
      <c r="E83" s="35"/>
      <c r="F83" s="35"/>
      <c r="G83" s="35"/>
    </row>
    <row r="84" spans="4:7" x14ac:dyDescent="0.25">
      <c r="D84" s="35"/>
      <c r="E84" s="35"/>
      <c r="F84" s="35"/>
      <c r="G84" s="35"/>
    </row>
    <row r="85" spans="4:7" x14ac:dyDescent="0.25">
      <c r="D85" s="35"/>
      <c r="E85" s="35"/>
      <c r="F85" s="35"/>
      <c r="G85" s="35"/>
    </row>
    <row r="86" spans="4:7" x14ac:dyDescent="0.25">
      <c r="D86" s="35"/>
      <c r="E86" s="35"/>
      <c r="F86" s="35"/>
      <c r="G86" s="35"/>
    </row>
    <row r="87" spans="4:7" x14ac:dyDescent="0.25">
      <c r="D87" s="35"/>
      <c r="E87" s="35"/>
      <c r="F87" s="35"/>
      <c r="G87" s="35"/>
    </row>
    <row r="88" spans="4:7" x14ac:dyDescent="0.25">
      <c r="D88" s="35"/>
      <c r="E88" s="35"/>
      <c r="F88" s="35"/>
      <c r="G88" s="35"/>
    </row>
    <row r="89" spans="4:7" x14ac:dyDescent="0.25">
      <c r="D89" s="35"/>
      <c r="E89" s="35"/>
      <c r="F89" s="35"/>
      <c r="G89" s="35"/>
    </row>
    <row r="90" spans="4:7" x14ac:dyDescent="0.25">
      <c r="D90" s="35"/>
      <c r="E90" s="35"/>
      <c r="F90" s="35"/>
      <c r="G90" s="35"/>
    </row>
    <row r="91" spans="4:7" x14ac:dyDescent="0.25">
      <c r="D91" s="35"/>
      <c r="E91" s="35"/>
      <c r="F91" s="35"/>
      <c r="G91" s="35"/>
    </row>
    <row r="92" spans="4:7" x14ac:dyDescent="0.25">
      <c r="D92" s="35"/>
      <c r="E92" s="35"/>
      <c r="F92" s="35"/>
      <c r="G92" s="35"/>
    </row>
    <row r="93" spans="4:7" x14ac:dyDescent="0.25">
      <c r="D93" s="35"/>
      <c r="E93" s="35"/>
      <c r="F93" s="35"/>
      <c r="G93" s="35"/>
    </row>
    <row r="94" spans="4:7" x14ac:dyDescent="0.25">
      <c r="D94" s="35"/>
      <c r="E94" s="35"/>
      <c r="F94" s="35"/>
      <c r="G94" s="35"/>
    </row>
    <row r="95" spans="4:7" x14ac:dyDescent="0.25">
      <c r="D95" s="35"/>
      <c r="E95" s="35"/>
      <c r="F95" s="35"/>
      <c r="G95" s="35"/>
    </row>
    <row r="96" spans="4:7" x14ac:dyDescent="0.25">
      <c r="D96" s="35"/>
      <c r="E96" s="35"/>
      <c r="F96" s="35"/>
      <c r="G96" s="35"/>
    </row>
    <row r="97" spans="4:7" x14ac:dyDescent="0.25">
      <c r="D97" s="35"/>
      <c r="E97" s="35"/>
      <c r="F97" s="35"/>
      <c r="G97" s="35"/>
    </row>
    <row r="98" spans="4:7" x14ac:dyDescent="0.25">
      <c r="D98" s="35"/>
      <c r="E98" s="35"/>
      <c r="F98" s="35"/>
      <c r="G98" s="35"/>
    </row>
    <row r="99" spans="4:7" x14ac:dyDescent="0.25">
      <c r="D99" s="35"/>
      <c r="E99" s="35"/>
      <c r="F99" s="35"/>
      <c r="G99" s="35"/>
    </row>
    <row r="100" spans="4:7" x14ac:dyDescent="0.25">
      <c r="D100" s="35"/>
      <c r="E100" s="35"/>
      <c r="F100" s="35"/>
      <c r="G100" s="35"/>
    </row>
    <row r="101" spans="4:7" x14ac:dyDescent="0.25">
      <c r="D101" s="35"/>
      <c r="E101" s="35"/>
      <c r="F101" s="35"/>
      <c r="G101" s="35"/>
    </row>
    <row r="102" spans="4:7" x14ac:dyDescent="0.25">
      <c r="D102" s="35"/>
      <c r="E102" s="35"/>
      <c r="F102" s="35"/>
      <c r="G102" s="35"/>
    </row>
    <row r="103" spans="4:7" x14ac:dyDescent="0.25">
      <c r="D103" s="35"/>
      <c r="E103" s="35"/>
      <c r="F103" s="35"/>
      <c r="G103" s="35"/>
    </row>
    <row r="104" spans="4:7" x14ac:dyDescent="0.25">
      <c r="D104" s="35"/>
      <c r="E104" s="35"/>
      <c r="F104" s="35"/>
      <c r="G104" s="35"/>
    </row>
    <row r="105" spans="4:7" x14ac:dyDescent="0.25">
      <c r="D105" s="35"/>
      <c r="E105" s="35"/>
      <c r="F105" s="35"/>
      <c r="G105" s="35"/>
    </row>
    <row r="106" spans="4:7" x14ac:dyDescent="0.25">
      <c r="D106" s="35"/>
      <c r="E106" s="35"/>
      <c r="F106" s="35"/>
      <c r="G106" s="35"/>
    </row>
    <row r="107" spans="4:7" x14ac:dyDescent="0.25">
      <c r="D107" s="35"/>
      <c r="E107" s="35"/>
      <c r="F107" s="35"/>
      <c r="G107" s="35"/>
    </row>
    <row r="108" spans="4:7" x14ac:dyDescent="0.25">
      <c r="D108" s="35"/>
      <c r="E108" s="35"/>
      <c r="F108" s="35"/>
      <c r="G108" s="35"/>
    </row>
    <row r="109" spans="4:7" x14ac:dyDescent="0.25">
      <c r="D109" s="35"/>
      <c r="E109" s="35"/>
      <c r="F109" s="35"/>
      <c r="G109" s="35"/>
    </row>
    <row r="110" spans="4:7" x14ac:dyDescent="0.25">
      <c r="D110" s="35"/>
      <c r="E110" s="35"/>
      <c r="F110" s="35"/>
      <c r="G110" s="35"/>
    </row>
    <row r="111" spans="4:7" x14ac:dyDescent="0.25">
      <c r="D111" s="35"/>
      <c r="E111" s="35"/>
      <c r="F111" s="35"/>
      <c r="G111" s="35"/>
    </row>
    <row r="112" spans="4:7" x14ac:dyDescent="0.25">
      <c r="D112" s="35"/>
      <c r="E112" s="35"/>
      <c r="F112" s="35"/>
      <c r="G112" s="35"/>
    </row>
    <row r="113" spans="4:7" x14ac:dyDescent="0.25">
      <c r="D113" s="35"/>
      <c r="E113" s="35"/>
      <c r="F113" s="35"/>
      <c r="G113" s="35"/>
    </row>
    <row r="114" spans="4:7" x14ac:dyDescent="0.25">
      <c r="D114" s="35"/>
      <c r="E114" s="35"/>
      <c r="F114" s="35"/>
      <c r="G114" s="35"/>
    </row>
    <row r="115" spans="4:7" x14ac:dyDescent="0.25">
      <c r="D115" s="35"/>
      <c r="E115" s="35"/>
      <c r="F115" s="35"/>
      <c r="G115" s="35"/>
    </row>
    <row r="116" spans="4:7" x14ac:dyDescent="0.25">
      <c r="D116" s="35"/>
      <c r="E116" s="35"/>
      <c r="F116" s="35"/>
      <c r="G116" s="35"/>
    </row>
    <row r="117" spans="4:7" x14ac:dyDescent="0.25">
      <c r="D117" s="35"/>
      <c r="E117" s="35"/>
      <c r="F117" s="35"/>
      <c r="G117" s="35"/>
    </row>
    <row r="118" spans="4:7" x14ac:dyDescent="0.25">
      <c r="D118" s="35"/>
      <c r="E118" s="35"/>
      <c r="F118" s="35"/>
      <c r="G118" s="35"/>
    </row>
    <row r="119" spans="4:7" x14ac:dyDescent="0.25">
      <c r="D119" s="35"/>
      <c r="E119" s="35"/>
      <c r="F119" s="35"/>
      <c r="G119" s="35"/>
    </row>
    <row r="120" spans="4:7" x14ac:dyDescent="0.25">
      <c r="D120" s="35"/>
      <c r="E120" s="35"/>
      <c r="F120" s="35"/>
      <c r="G120" s="35"/>
    </row>
    <row r="121" spans="4:7" x14ac:dyDescent="0.25">
      <c r="D121" s="35"/>
      <c r="E121" s="35"/>
      <c r="F121" s="35"/>
      <c r="G121" s="35"/>
    </row>
    <row r="122" spans="4:7" x14ac:dyDescent="0.25">
      <c r="D122" s="35"/>
      <c r="E122" s="35"/>
      <c r="F122" s="35"/>
      <c r="G122" s="35"/>
    </row>
    <row r="123" spans="4:7" x14ac:dyDescent="0.25">
      <c r="D123" s="35"/>
      <c r="E123" s="35"/>
      <c r="F123" s="35"/>
      <c r="G123" s="35"/>
    </row>
    <row r="124" spans="4:7" x14ac:dyDescent="0.25">
      <c r="D124" s="35"/>
      <c r="E124" s="35"/>
      <c r="F124" s="35"/>
      <c r="G124" s="35"/>
    </row>
    <row r="125" spans="4:7" x14ac:dyDescent="0.25">
      <c r="D125" s="35"/>
      <c r="E125" s="35"/>
      <c r="F125" s="35"/>
      <c r="G125" s="35"/>
    </row>
    <row r="126" spans="4:7" x14ac:dyDescent="0.25">
      <c r="D126" s="35"/>
      <c r="E126" s="35"/>
      <c r="F126" s="35"/>
      <c r="G126" s="35"/>
    </row>
    <row r="127" spans="4:7" x14ac:dyDescent="0.25">
      <c r="D127" s="35"/>
      <c r="E127" s="35"/>
      <c r="F127" s="35"/>
      <c r="G127" s="35"/>
    </row>
    <row r="128" spans="4:7" x14ac:dyDescent="0.25">
      <c r="D128" s="35"/>
      <c r="E128" s="35"/>
      <c r="F128" s="35"/>
      <c r="G128" s="35"/>
    </row>
    <row r="129" spans="4:7" x14ac:dyDescent="0.25">
      <c r="D129" s="35"/>
      <c r="E129" s="35"/>
      <c r="F129" s="35"/>
      <c r="G129" s="35"/>
    </row>
    <row r="130" spans="4:7" x14ac:dyDescent="0.25">
      <c r="D130" s="35"/>
      <c r="E130" s="35"/>
      <c r="F130" s="35"/>
      <c r="G130" s="35"/>
    </row>
    <row r="131" spans="4:7" x14ac:dyDescent="0.25">
      <c r="D131" s="35"/>
      <c r="E131" s="35"/>
      <c r="F131" s="35"/>
      <c r="G131" s="35"/>
    </row>
    <row r="132" spans="4:7" x14ac:dyDescent="0.25">
      <c r="D132" s="35"/>
      <c r="E132" s="35"/>
      <c r="F132" s="35"/>
      <c r="G132" s="35"/>
    </row>
    <row r="133" spans="4:7" x14ac:dyDescent="0.25">
      <c r="D133" s="35"/>
      <c r="E133" s="35"/>
      <c r="F133" s="35"/>
      <c r="G133" s="35"/>
    </row>
    <row r="134" spans="4:7" x14ac:dyDescent="0.25">
      <c r="D134" s="35"/>
      <c r="E134" s="35"/>
      <c r="F134" s="35"/>
      <c r="G134" s="35"/>
    </row>
    <row r="135" spans="4:7" x14ac:dyDescent="0.25">
      <c r="D135" s="35"/>
      <c r="E135" s="35"/>
      <c r="F135" s="35"/>
      <c r="G135" s="35"/>
    </row>
    <row r="136" spans="4:7" x14ac:dyDescent="0.25">
      <c r="D136" s="35"/>
      <c r="E136" s="35"/>
      <c r="F136" s="35"/>
      <c r="G136" s="35"/>
    </row>
    <row r="137" spans="4:7" x14ac:dyDescent="0.25">
      <c r="D137" s="35"/>
      <c r="E137" s="35"/>
      <c r="F137" s="35"/>
      <c r="G137" s="35"/>
    </row>
    <row r="138" spans="4:7" x14ac:dyDescent="0.25">
      <c r="D138" s="35"/>
      <c r="E138" s="35"/>
      <c r="F138" s="35"/>
      <c r="G138" s="35"/>
    </row>
    <row r="139" spans="4:7" x14ac:dyDescent="0.25">
      <c r="D139" s="35"/>
      <c r="E139" s="35"/>
      <c r="F139" s="35"/>
      <c r="G139" s="35"/>
    </row>
    <row r="140" spans="4:7" x14ac:dyDescent="0.25">
      <c r="D140" s="35"/>
      <c r="E140" s="35"/>
      <c r="F140" s="35"/>
      <c r="G140" s="35"/>
    </row>
    <row r="141" spans="4:7" x14ac:dyDescent="0.25">
      <c r="D141" s="35"/>
      <c r="E141" s="35"/>
      <c r="F141" s="35"/>
      <c r="G141" s="35"/>
    </row>
    <row r="142" spans="4:7" x14ac:dyDescent="0.25">
      <c r="D142" s="35"/>
      <c r="E142" s="35"/>
      <c r="F142" s="35"/>
      <c r="G142" s="35"/>
    </row>
    <row r="143" spans="4:7" x14ac:dyDescent="0.25">
      <c r="D143" s="35"/>
      <c r="E143" s="35"/>
      <c r="F143" s="35"/>
      <c r="G143" s="35"/>
    </row>
    <row r="144" spans="4:7" x14ac:dyDescent="0.25">
      <c r="D144" s="35"/>
      <c r="E144" s="35"/>
      <c r="F144" s="35"/>
      <c r="G144" s="35"/>
    </row>
    <row r="145" spans="4:7" x14ac:dyDescent="0.25">
      <c r="D145" s="35"/>
      <c r="E145" s="35"/>
      <c r="F145" s="35"/>
      <c r="G145" s="35"/>
    </row>
    <row r="146" spans="4:7" x14ac:dyDescent="0.25">
      <c r="D146" s="35"/>
      <c r="E146" s="35"/>
      <c r="F146" s="35"/>
      <c r="G146" s="35"/>
    </row>
    <row r="147" spans="4:7" x14ac:dyDescent="0.25">
      <c r="D147" s="35"/>
      <c r="E147" s="35"/>
      <c r="F147" s="35"/>
      <c r="G147" s="35"/>
    </row>
    <row r="148" spans="4:7" x14ac:dyDescent="0.25">
      <c r="D148" s="35"/>
      <c r="E148" s="35"/>
      <c r="F148" s="35"/>
      <c r="G148" s="35"/>
    </row>
    <row r="149" spans="4:7" x14ac:dyDescent="0.25">
      <c r="D149" s="35"/>
      <c r="E149" s="35"/>
      <c r="F149" s="35"/>
      <c r="G149" s="35"/>
    </row>
    <row r="150" spans="4:7" x14ac:dyDescent="0.25">
      <c r="D150" s="35"/>
      <c r="E150" s="35"/>
      <c r="F150" s="35"/>
      <c r="G150" s="35"/>
    </row>
    <row r="151" spans="4:7" x14ac:dyDescent="0.25">
      <c r="D151" s="35"/>
      <c r="E151" s="35"/>
      <c r="F151" s="35"/>
      <c r="G151" s="35"/>
    </row>
    <row r="152" spans="4:7" x14ac:dyDescent="0.25">
      <c r="D152" s="35"/>
      <c r="E152" s="35"/>
      <c r="F152" s="35"/>
      <c r="G152" s="35"/>
    </row>
    <row r="153" spans="4:7" x14ac:dyDescent="0.25">
      <c r="D153" s="35"/>
      <c r="E153" s="35"/>
      <c r="F153" s="35"/>
      <c r="G153" s="35"/>
    </row>
    <row r="154" spans="4:7" x14ac:dyDescent="0.25">
      <c r="D154" s="35"/>
      <c r="E154" s="35"/>
      <c r="F154" s="35"/>
      <c r="G154" s="35"/>
    </row>
    <row r="155" spans="4:7" x14ac:dyDescent="0.25">
      <c r="D155" s="35"/>
      <c r="E155" s="35"/>
      <c r="F155" s="35"/>
      <c r="G155" s="35"/>
    </row>
    <row r="156" spans="4:7" x14ac:dyDescent="0.25">
      <c r="D156" s="35"/>
      <c r="E156" s="35"/>
      <c r="F156" s="35"/>
      <c r="G156" s="35"/>
    </row>
    <row r="157" spans="4:7" x14ac:dyDescent="0.25">
      <c r="D157" s="35"/>
      <c r="E157" s="35"/>
      <c r="F157" s="35"/>
      <c r="G157" s="35"/>
    </row>
    <row r="158" spans="4:7" x14ac:dyDescent="0.25">
      <c r="D158" s="35"/>
      <c r="E158" s="35"/>
      <c r="F158" s="35"/>
      <c r="G158" s="35"/>
    </row>
    <row r="159" spans="4:7" x14ac:dyDescent="0.25">
      <c r="D159" s="35"/>
      <c r="E159" s="35"/>
      <c r="F159" s="35"/>
      <c r="G159" s="35"/>
    </row>
    <row r="160" spans="4:7" x14ac:dyDescent="0.25">
      <c r="D160" s="35"/>
      <c r="E160" s="35"/>
      <c r="F160" s="35"/>
      <c r="G160" s="35"/>
    </row>
    <row r="161" spans="4:7" x14ac:dyDescent="0.25">
      <c r="D161" s="35"/>
      <c r="E161" s="35"/>
      <c r="F161" s="35"/>
      <c r="G161" s="35"/>
    </row>
    <row r="162" spans="4:7" x14ac:dyDescent="0.25">
      <c r="D162" s="35"/>
      <c r="E162" s="35"/>
      <c r="F162" s="35"/>
      <c r="G162" s="35"/>
    </row>
    <row r="163" spans="4:7" x14ac:dyDescent="0.25">
      <c r="D163" s="35"/>
      <c r="E163" s="35"/>
      <c r="F163" s="35"/>
      <c r="G163" s="35"/>
    </row>
    <row r="164" spans="4:7" x14ac:dyDescent="0.25">
      <c r="D164" s="35"/>
      <c r="E164" s="35"/>
      <c r="F164" s="35"/>
      <c r="G164" s="35"/>
    </row>
    <row r="165" spans="4:7" x14ac:dyDescent="0.25">
      <c r="D165" s="35"/>
      <c r="E165" s="35"/>
      <c r="F165" s="35"/>
      <c r="G165" s="35"/>
    </row>
    <row r="166" spans="4:7" x14ac:dyDescent="0.25">
      <c r="D166" s="35"/>
      <c r="E166" s="35"/>
      <c r="F166" s="35"/>
      <c r="G166" s="35"/>
    </row>
    <row r="167" spans="4:7" x14ac:dyDescent="0.25">
      <c r="D167" s="35"/>
      <c r="E167" s="35"/>
      <c r="F167" s="35"/>
      <c r="G167" s="35"/>
    </row>
    <row r="168" spans="4:7" x14ac:dyDescent="0.25">
      <c r="D168" s="35"/>
      <c r="E168" s="35"/>
      <c r="F168" s="35"/>
      <c r="G168" s="35"/>
    </row>
    <row r="169" spans="4:7" x14ac:dyDescent="0.25">
      <c r="D169" s="35"/>
      <c r="E169" s="35"/>
      <c r="F169" s="35"/>
      <c r="G169" s="35"/>
    </row>
    <row r="170" spans="4:7" x14ac:dyDescent="0.25">
      <c r="D170" s="35"/>
      <c r="E170" s="35"/>
      <c r="F170" s="35"/>
      <c r="G170" s="35"/>
    </row>
    <row r="171" spans="4:7" x14ac:dyDescent="0.25">
      <c r="D171" s="35"/>
      <c r="E171" s="35"/>
      <c r="F171" s="35"/>
      <c r="G171" s="35"/>
    </row>
    <row r="172" spans="4:7" x14ac:dyDescent="0.25">
      <c r="D172" s="35"/>
      <c r="E172" s="35"/>
      <c r="F172" s="35"/>
      <c r="G172" s="35"/>
    </row>
    <row r="173" spans="4:7" x14ac:dyDescent="0.25">
      <c r="D173" s="35"/>
      <c r="E173" s="35"/>
      <c r="F173" s="35"/>
      <c r="G173" s="35"/>
    </row>
    <row r="174" spans="4:7" x14ac:dyDescent="0.25">
      <c r="D174" s="35"/>
      <c r="E174" s="35"/>
      <c r="F174" s="35"/>
      <c r="G174" s="35"/>
    </row>
    <row r="175" spans="4:7" x14ac:dyDescent="0.25">
      <c r="D175" s="35"/>
      <c r="E175" s="35"/>
      <c r="F175" s="35"/>
      <c r="G175" s="35"/>
    </row>
    <row r="176" spans="4:7" x14ac:dyDescent="0.25">
      <c r="D176" s="35"/>
      <c r="E176" s="35"/>
      <c r="F176" s="35"/>
      <c r="G176" s="35"/>
    </row>
    <row r="177" spans="4:7" x14ac:dyDescent="0.25">
      <c r="D177" s="35"/>
      <c r="E177" s="35"/>
      <c r="F177" s="35"/>
      <c r="G177" s="35"/>
    </row>
    <row r="178" spans="4:7" x14ac:dyDescent="0.25">
      <c r="D178" s="35"/>
      <c r="E178" s="35"/>
      <c r="F178" s="35"/>
      <c r="G178" s="35"/>
    </row>
    <row r="179" spans="4:7" x14ac:dyDescent="0.25">
      <c r="D179" s="35"/>
      <c r="E179" s="35"/>
      <c r="F179" s="35"/>
      <c r="G179" s="35"/>
    </row>
    <row r="180" spans="4:7" x14ac:dyDescent="0.25">
      <c r="D180" s="35"/>
      <c r="E180" s="35"/>
      <c r="F180" s="35"/>
      <c r="G180" s="35"/>
    </row>
    <row r="181" spans="4:7" x14ac:dyDescent="0.25">
      <c r="D181" s="35"/>
      <c r="E181" s="35"/>
      <c r="F181" s="35"/>
      <c r="G181" s="35"/>
    </row>
    <row r="182" spans="4:7" x14ac:dyDescent="0.25">
      <c r="D182" s="35"/>
      <c r="E182" s="35"/>
      <c r="F182" s="35"/>
      <c r="G182" s="35"/>
    </row>
    <row r="183" spans="4:7" x14ac:dyDescent="0.25">
      <c r="D183" s="35"/>
      <c r="E183" s="35"/>
      <c r="F183" s="35"/>
      <c r="G183" s="35"/>
    </row>
    <row r="184" spans="4:7" x14ac:dyDescent="0.25">
      <c r="D184" s="35"/>
      <c r="E184" s="35"/>
      <c r="F184" s="35"/>
      <c r="G184" s="35"/>
    </row>
    <row r="185" spans="4:7" x14ac:dyDescent="0.25">
      <c r="D185" s="35"/>
      <c r="E185" s="35"/>
      <c r="F185" s="35"/>
      <c r="G185" s="35"/>
    </row>
    <row r="186" spans="4:7" x14ac:dyDescent="0.25">
      <c r="D186" s="35"/>
      <c r="E186" s="35"/>
      <c r="F186" s="35"/>
      <c r="G186" s="35"/>
    </row>
    <row r="187" spans="4:7" x14ac:dyDescent="0.25">
      <c r="D187" s="35"/>
      <c r="E187" s="35"/>
      <c r="F187" s="35"/>
      <c r="G187" s="35"/>
    </row>
    <row r="188" spans="4:7" x14ac:dyDescent="0.25">
      <c r="D188" s="35"/>
      <c r="E188" s="35"/>
      <c r="F188" s="35"/>
      <c r="G188" s="35"/>
    </row>
    <row r="189" spans="4:7" x14ac:dyDescent="0.25">
      <c r="D189" s="35"/>
      <c r="E189" s="35"/>
      <c r="F189" s="35"/>
      <c r="G189" s="35"/>
    </row>
    <row r="190" spans="4:7" x14ac:dyDescent="0.25">
      <c r="D190" s="35"/>
      <c r="E190" s="35"/>
      <c r="F190" s="35"/>
      <c r="G190" s="35"/>
    </row>
    <row r="191" spans="4:7" x14ac:dyDescent="0.25">
      <c r="D191" s="35"/>
      <c r="E191" s="35"/>
      <c r="F191" s="35"/>
      <c r="G191" s="35"/>
    </row>
    <row r="192" spans="4:7" x14ac:dyDescent="0.25">
      <c r="D192" s="35"/>
      <c r="E192" s="35"/>
      <c r="F192" s="35"/>
      <c r="G192" s="35"/>
    </row>
    <row r="193" spans="4:7" x14ac:dyDescent="0.25">
      <c r="D193" s="35"/>
      <c r="E193" s="35"/>
      <c r="F193" s="35"/>
      <c r="G193" s="35"/>
    </row>
    <row r="194" spans="4:7" x14ac:dyDescent="0.25">
      <c r="D194" s="35"/>
      <c r="E194" s="35"/>
      <c r="F194" s="35"/>
      <c r="G194" s="35"/>
    </row>
    <row r="195" spans="4:7" x14ac:dyDescent="0.25">
      <c r="D195" s="35"/>
      <c r="E195" s="35"/>
      <c r="F195" s="35"/>
      <c r="G195" s="35"/>
    </row>
    <row r="196" spans="4:7" x14ac:dyDescent="0.25">
      <c r="D196" s="35"/>
      <c r="E196" s="35"/>
      <c r="F196" s="35"/>
      <c r="G196" s="35"/>
    </row>
    <row r="197" spans="4:7" x14ac:dyDescent="0.25">
      <c r="D197" s="35"/>
      <c r="E197" s="35"/>
      <c r="F197" s="35"/>
      <c r="G197" s="35"/>
    </row>
    <row r="198" spans="4:7" x14ac:dyDescent="0.25">
      <c r="D198" s="35"/>
      <c r="E198" s="35"/>
      <c r="F198" s="35"/>
      <c r="G198" s="35"/>
    </row>
    <row r="199" spans="4:7" x14ac:dyDescent="0.25">
      <c r="D199" s="35"/>
      <c r="E199" s="35"/>
      <c r="F199" s="35"/>
      <c r="G199" s="35"/>
    </row>
    <row r="200" spans="4:7" x14ac:dyDescent="0.25">
      <c r="D200" s="35"/>
      <c r="E200" s="35"/>
      <c r="F200" s="35"/>
      <c r="G200" s="35"/>
    </row>
    <row r="201" spans="4:7" x14ac:dyDescent="0.25">
      <c r="D201" s="35"/>
      <c r="E201" s="35"/>
      <c r="F201" s="35"/>
      <c r="G201" s="35"/>
    </row>
    <row r="202" spans="4:7" x14ac:dyDescent="0.25">
      <c r="D202" s="35"/>
      <c r="E202" s="35"/>
      <c r="F202" s="35"/>
      <c r="G202" s="35"/>
    </row>
    <row r="203" spans="4:7" x14ac:dyDescent="0.25">
      <c r="D203" s="35"/>
      <c r="E203" s="35"/>
      <c r="F203" s="35"/>
      <c r="G203" s="35"/>
    </row>
    <row r="204" spans="4:7" x14ac:dyDescent="0.25">
      <c r="D204" s="35"/>
      <c r="E204" s="35"/>
      <c r="F204" s="35"/>
      <c r="G204" s="35"/>
    </row>
    <row r="205" spans="4:7" x14ac:dyDescent="0.25">
      <c r="D205" s="35"/>
      <c r="E205" s="35"/>
      <c r="F205" s="35"/>
      <c r="G205" s="35"/>
    </row>
    <row r="206" spans="4:7" x14ac:dyDescent="0.25">
      <c r="D206" s="35"/>
      <c r="E206" s="35"/>
      <c r="F206" s="35"/>
      <c r="G206" s="35"/>
    </row>
    <row r="207" spans="4:7" x14ac:dyDescent="0.25">
      <c r="D207" s="35"/>
      <c r="E207" s="35"/>
      <c r="F207" s="35"/>
      <c r="G207" s="35"/>
    </row>
    <row r="208" spans="4:7" x14ac:dyDescent="0.25">
      <c r="D208" s="35"/>
      <c r="E208" s="35"/>
      <c r="F208" s="35"/>
      <c r="G208" s="35"/>
    </row>
    <row r="209" spans="4:7" x14ac:dyDescent="0.25">
      <c r="D209" s="35"/>
      <c r="E209" s="35"/>
      <c r="F209" s="35"/>
      <c r="G209" s="35"/>
    </row>
    <row r="210" spans="4:7" x14ac:dyDescent="0.25">
      <c r="D210" s="35"/>
      <c r="E210" s="35"/>
      <c r="F210" s="35"/>
      <c r="G210" s="35"/>
    </row>
    <row r="211" spans="4:7" x14ac:dyDescent="0.25">
      <c r="D211" s="35"/>
      <c r="E211" s="35"/>
      <c r="F211" s="35"/>
      <c r="G211" s="35"/>
    </row>
    <row r="212" spans="4:7" x14ac:dyDescent="0.25">
      <c r="D212" s="35"/>
      <c r="E212" s="35"/>
      <c r="F212" s="35"/>
      <c r="G212" s="35"/>
    </row>
    <row r="213" spans="4:7" x14ac:dyDescent="0.25">
      <c r="D213" s="35"/>
      <c r="E213" s="35"/>
      <c r="F213" s="35"/>
      <c r="G213" s="35"/>
    </row>
    <row r="214" spans="4:7" x14ac:dyDescent="0.25">
      <c r="D214" s="35"/>
      <c r="E214" s="35"/>
      <c r="F214" s="35"/>
      <c r="G214" s="35"/>
    </row>
    <row r="215" spans="4:7" x14ac:dyDescent="0.25">
      <c r="D215" s="35"/>
      <c r="E215" s="35"/>
      <c r="F215" s="35"/>
      <c r="G215" s="35"/>
    </row>
    <row r="216" spans="4:7" x14ac:dyDescent="0.25">
      <c r="D216" s="35"/>
      <c r="E216" s="35"/>
      <c r="F216" s="35"/>
      <c r="G216" s="35"/>
    </row>
    <row r="217" spans="4:7" x14ac:dyDescent="0.25">
      <c r="D217" s="35"/>
      <c r="E217" s="35"/>
      <c r="F217" s="35"/>
      <c r="G217" s="35"/>
    </row>
    <row r="218" spans="4:7" x14ac:dyDescent="0.25">
      <c r="D218" s="35"/>
      <c r="E218" s="35"/>
      <c r="F218" s="35"/>
      <c r="G218" s="35"/>
    </row>
    <row r="219" spans="4:7" x14ac:dyDescent="0.25">
      <c r="D219" s="35"/>
      <c r="E219" s="35"/>
      <c r="F219" s="35"/>
      <c r="G219" s="35"/>
    </row>
    <row r="220" spans="4:7" x14ac:dyDescent="0.25">
      <c r="D220" s="35"/>
      <c r="E220" s="35"/>
      <c r="F220" s="35"/>
      <c r="G220" s="35"/>
    </row>
    <row r="221" spans="4:7" x14ac:dyDescent="0.25">
      <c r="D221" s="35"/>
      <c r="E221" s="35"/>
      <c r="F221" s="35"/>
      <c r="G221" s="35"/>
    </row>
    <row r="222" spans="4:7" x14ac:dyDescent="0.25">
      <c r="D222" s="35"/>
      <c r="E222" s="35"/>
      <c r="F222" s="35"/>
      <c r="G222" s="35"/>
    </row>
    <row r="223" spans="4:7" x14ac:dyDescent="0.25">
      <c r="D223" s="35"/>
      <c r="E223" s="35"/>
      <c r="F223" s="35"/>
      <c r="G223" s="35"/>
    </row>
    <row r="224" spans="4:7" x14ac:dyDescent="0.25">
      <c r="D224" s="35"/>
      <c r="E224" s="35"/>
      <c r="F224" s="35"/>
      <c r="G224" s="35"/>
    </row>
    <row r="225" spans="4:7" x14ac:dyDescent="0.25">
      <c r="D225" s="35"/>
      <c r="E225" s="35"/>
      <c r="F225" s="35"/>
      <c r="G225" s="35"/>
    </row>
    <row r="226" spans="4:7" x14ac:dyDescent="0.25">
      <c r="D226" s="35"/>
      <c r="E226" s="35"/>
      <c r="F226" s="35"/>
      <c r="G226" s="35"/>
    </row>
    <row r="227" spans="4:7" x14ac:dyDescent="0.25">
      <c r="D227" s="35"/>
      <c r="E227" s="35"/>
      <c r="F227" s="35"/>
      <c r="G227" s="35"/>
    </row>
    <row r="228" spans="4:7" x14ac:dyDescent="0.25">
      <c r="D228" s="35"/>
      <c r="E228" s="35"/>
      <c r="F228" s="35"/>
      <c r="G228" s="35"/>
    </row>
    <row r="229" spans="4:7" x14ac:dyDescent="0.25">
      <c r="D229" s="35"/>
      <c r="E229" s="35"/>
      <c r="F229" s="35"/>
      <c r="G229" s="35"/>
    </row>
    <row r="230" spans="4:7" x14ac:dyDescent="0.25">
      <c r="D230" s="35"/>
      <c r="E230" s="35"/>
      <c r="F230" s="35"/>
      <c r="G230" s="35"/>
    </row>
    <row r="231" spans="4:7" x14ac:dyDescent="0.25">
      <c r="D231" s="35"/>
      <c r="E231" s="35"/>
      <c r="F231" s="35"/>
      <c r="G231" s="35"/>
    </row>
    <row r="232" spans="4:7" x14ac:dyDescent="0.25">
      <c r="D232" s="35"/>
      <c r="E232" s="35"/>
      <c r="F232" s="35"/>
      <c r="G232" s="35"/>
    </row>
    <row r="233" spans="4:7" x14ac:dyDescent="0.25">
      <c r="D233" s="35"/>
      <c r="E233" s="35"/>
      <c r="F233" s="35"/>
      <c r="G233" s="35"/>
    </row>
    <row r="234" spans="4:7" x14ac:dyDescent="0.25">
      <c r="D234" s="35"/>
      <c r="E234" s="35"/>
      <c r="F234" s="35"/>
      <c r="G234" s="35"/>
    </row>
    <row r="235" spans="4:7" x14ac:dyDescent="0.25">
      <c r="D235" s="35"/>
      <c r="E235" s="35"/>
      <c r="F235" s="35"/>
      <c r="G235" s="35"/>
    </row>
    <row r="236" spans="4:7" x14ac:dyDescent="0.25">
      <c r="D236" s="35"/>
      <c r="E236" s="35"/>
      <c r="F236" s="35"/>
      <c r="G236" s="35"/>
    </row>
    <row r="237" spans="4:7" x14ac:dyDescent="0.25">
      <c r="D237" s="35"/>
      <c r="E237" s="35"/>
      <c r="F237" s="35"/>
      <c r="G237" s="35"/>
    </row>
  </sheetData>
  <mergeCells count="4">
    <mergeCell ref="A2:F2"/>
    <mergeCell ref="A3:F3"/>
    <mergeCell ref="A4:F5"/>
    <mergeCell ref="A6:F6"/>
  </mergeCells>
  <pageMargins left="0.59055118110236204" right="0.59055118110236204" top="0.39370078740157477" bottom="0.59055118110236204" header="0.31496062992125984" footer="0.31496062992125984"/>
  <pageSetup paperSize="9" scale="59" firstPageNumber="42949672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6"/>
  <sheetViews>
    <sheetView topLeftCell="A3" zoomScale="60" workbookViewId="0">
      <selection activeCell="B8" sqref="B8:G8"/>
    </sheetView>
  </sheetViews>
  <sheetFormatPr defaultColWidth="10.33203125" defaultRowHeight="14.4" x14ac:dyDescent="0.3"/>
  <cols>
    <col min="1" max="1" width="5.109375" style="2" customWidth="1"/>
    <col min="2" max="2" width="4.5546875" style="2" customWidth="1"/>
    <col min="3" max="3" width="73" style="2" customWidth="1"/>
    <col min="4" max="4" width="14.5546875" style="2" customWidth="1"/>
    <col min="5" max="5" width="20.33203125" style="26" customWidth="1"/>
    <col min="6" max="6" width="20.33203125" style="3" customWidth="1"/>
    <col min="7" max="7" width="20.33203125" style="36" customWidth="1"/>
    <col min="8" max="8" width="20.33203125" style="4" customWidth="1"/>
    <col min="9" max="9" width="10.44140625" style="4" customWidth="1"/>
    <col min="10" max="16384" width="10.33203125" style="2"/>
  </cols>
  <sheetData>
    <row r="1" spans="1:13" s="4" customFormat="1" ht="1.5" hidden="1" customHeight="1" x14ac:dyDescent="0.3">
      <c r="A1" s="2"/>
      <c r="B1" s="2"/>
      <c r="C1" s="2"/>
      <c r="D1" s="2"/>
      <c r="E1" s="26"/>
      <c r="F1" s="3"/>
      <c r="G1" s="36"/>
      <c r="J1" s="2"/>
    </row>
    <row r="2" spans="1:13" s="4" customFormat="1" ht="9" hidden="1" customHeight="1" x14ac:dyDescent="0.3">
      <c r="A2" s="2"/>
      <c r="B2" s="2"/>
      <c r="C2" s="2"/>
      <c r="D2" s="2"/>
      <c r="E2" s="26"/>
      <c r="F2" s="3"/>
      <c r="G2" s="36"/>
      <c r="J2" s="2"/>
    </row>
    <row r="3" spans="1:13" s="4" customFormat="1" ht="21" customHeight="1" x14ac:dyDescent="0.3">
      <c r="A3" s="2"/>
      <c r="B3" s="173"/>
      <c r="C3" s="173"/>
      <c r="D3" s="173"/>
      <c r="E3" s="182"/>
      <c r="F3" s="173"/>
      <c r="G3" s="183" t="s">
        <v>0</v>
      </c>
      <c r="H3" s="173"/>
      <c r="J3" s="2"/>
    </row>
    <row r="4" spans="1:13" s="4" customFormat="1" ht="17.399999999999999" x14ac:dyDescent="0.3">
      <c r="B4" s="184" t="s">
        <v>1</v>
      </c>
      <c r="C4" s="184"/>
      <c r="D4" s="184"/>
      <c r="E4" s="184"/>
      <c r="F4" s="184"/>
      <c r="G4" s="184"/>
      <c r="H4" s="173"/>
    </row>
    <row r="5" spans="1:13" s="4" customFormat="1" ht="17.399999999999999" x14ac:dyDescent="0.3">
      <c r="B5" s="184" t="s">
        <v>2</v>
      </c>
      <c r="C5" s="184"/>
      <c r="D5" s="184"/>
      <c r="E5" s="184"/>
      <c r="F5" s="184"/>
      <c r="G5" s="184"/>
      <c r="H5" s="173"/>
    </row>
    <row r="6" spans="1:13" s="4" customFormat="1" ht="20.25" customHeight="1" x14ac:dyDescent="0.3">
      <c r="B6" s="186" t="s">
        <v>3</v>
      </c>
      <c r="C6" s="186"/>
      <c r="D6" s="186"/>
      <c r="E6" s="186"/>
      <c r="F6" s="186"/>
      <c r="G6" s="186"/>
      <c r="H6" s="173"/>
    </row>
    <row r="7" spans="1:13" s="4" customFormat="1" ht="21" customHeight="1" x14ac:dyDescent="0.3">
      <c r="B7" s="187"/>
      <c r="C7" s="187"/>
      <c r="D7" s="187"/>
      <c r="E7" s="187"/>
      <c r="F7" s="187"/>
      <c r="G7" s="187"/>
      <c r="H7" s="173"/>
    </row>
    <row r="8" spans="1:13" s="4" customFormat="1" ht="17.399999999999999" x14ac:dyDescent="0.3">
      <c r="B8" s="185" t="s">
        <v>37</v>
      </c>
      <c r="C8" s="185"/>
      <c r="D8" s="185"/>
      <c r="E8" s="185"/>
      <c r="F8" s="185"/>
      <c r="G8" s="185"/>
      <c r="H8" s="173"/>
    </row>
    <row r="9" spans="1:13" s="4" customFormat="1" x14ac:dyDescent="0.3">
      <c r="B9" s="2"/>
      <c r="C9" s="4">
        <v>11847</v>
      </c>
      <c r="D9" s="4">
        <v>37415.199999999997</v>
      </c>
      <c r="E9" s="4">
        <f>971</f>
        <v>971</v>
      </c>
      <c r="F9" s="3"/>
      <c r="G9" s="36"/>
    </row>
    <row r="10" spans="1:13" s="4" customFormat="1" ht="74.25" customHeight="1" x14ac:dyDescent="0.3">
      <c r="B10" s="37"/>
      <c r="C10" s="38" t="s">
        <v>6</v>
      </c>
      <c r="D10" s="38" t="s">
        <v>7</v>
      </c>
      <c r="E10" s="8" t="s">
        <v>8</v>
      </c>
      <c r="F10" s="8" t="s">
        <v>9</v>
      </c>
      <c r="G10" s="8" t="s">
        <v>10</v>
      </c>
      <c r="H10" s="8" t="s">
        <v>11</v>
      </c>
    </row>
    <row r="11" spans="1:13" s="4" customFormat="1" ht="41.25" customHeight="1" x14ac:dyDescent="0.3">
      <c r="B11" s="9" t="s">
        <v>12</v>
      </c>
      <c r="C11" s="10" t="s">
        <v>38</v>
      </c>
      <c r="D11" s="10"/>
      <c r="E11" s="11">
        <f>SUM(E12:E23)</f>
        <v>38.71</v>
      </c>
      <c r="F11" s="11">
        <f>SUM(F12:F23)+0.01</f>
        <v>51.90329369544272</v>
      </c>
      <c r="G11" s="11">
        <f t="shared" ref="G11:G25" si="0">F11-E11</f>
        <v>13.193293695442719</v>
      </c>
      <c r="H11" s="11">
        <f t="shared" ref="H11:H25" si="1">F11/E11*100-100</f>
        <v>34.082391359965698</v>
      </c>
    </row>
    <row r="12" spans="1:13" s="4" customFormat="1" ht="41.4" customHeight="1" x14ac:dyDescent="0.3">
      <c r="B12" s="21"/>
      <c r="C12" s="14" t="s">
        <v>15</v>
      </c>
      <c r="D12" s="23" t="s">
        <v>18</v>
      </c>
      <c r="E12" s="30">
        <v>5.44</v>
      </c>
      <c r="F12" s="30">
        <v>9.8189992577644905</v>
      </c>
      <c r="G12" s="30">
        <f t="shared" si="0"/>
        <v>4.3789992577644901</v>
      </c>
      <c r="H12" s="30">
        <f t="shared" si="1"/>
        <v>80.496309885376661</v>
      </c>
      <c r="J12" s="20"/>
    </row>
    <row r="13" spans="1:13" s="4" customFormat="1" ht="41.4" customHeight="1" x14ac:dyDescent="0.3">
      <c r="B13" s="18"/>
      <c r="C13" s="14" t="s">
        <v>17</v>
      </c>
      <c r="D13" s="23" t="s">
        <v>18</v>
      </c>
      <c r="E13" s="30">
        <v>6.21</v>
      </c>
      <c r="F13" s="30">
        <v>6.33</v>
      </c>
      <c r="G13" s="30">
        <f t="shared" si="0"/>
        <v>0.12000000000000011</v>
      </c>
      <c r="H13" s="30">
        <f t="shared" si="1"/>
        <v>1.9323671497584627</v>
      </c>
      <c r="J13" s="20"/>
    </row>
    <row r="14" spans="1:13" ht="41.4" customHeight="1" x14ac:dyDescent="0.3">
      <c r="B14" s="21"/>
      <c r="C14" s="14" t="s">
        <v>20</v>
      </c>
      <c r="D14" s="23" t="s">
        <v>18</v>
      </c>
      <c r="E14" s="30">
        <v>5.41</v>
      </c>
      <c r="F14" s="30">
        <v>8.2626141846427217</v>
      </c>
      <c r="G14" s="30">
        <f t="shared" si="0"/>
        <v>2.8526141846427215</v>
      </c>
      <c r="H14" s="30">
        <f t="shared" si="1"/>
        <v>52.728543154209262</v>
      </c>
      <c r="J14" s="20"/>
    </row>
    <row r="15" spans="1:13" s="4" customFormat="1" ht="41.4" customHeight="1" x14ac:dyDescent="0.3">
      <c r="B15" s="21"/>
      <c r="C15" s="22" t="s">
        <v>21</v>
      </c>
      <c r="D15" s="23" t="s">
        <v>18</v>
      </c>
      <c r="E15" s="30">
        <v>0.74</v>
      </c>
      <c r="F15" s="30">
        <v>1.2289081984395913</v>
      </c>
      <c r="G15" s="30">
        <f t="shared" si="0"/>
        <v>0.48890819843959132</v>
      </c>
      <c r="H15" s="30">
        <f t="shared" si="1"/>
        <v>66.068675464809644</v>
      </c>
      <c r="J15" s="20"/>
    </row>
    <row r="16" spans="1:13" s="4" customFormat="1" ht="41.4" customHeight="1" x14ac:dyDescent="0.3">
      <c r="B16" s="21"/>
      <c r="C16" s="22" t="s">
        <v>22</v>
      </c>
      <c r="D16" s="23" t="s">
        <v>18</v>
      </c>
      <c r="E16" s="30">
        <v>0.72</v>
      </c>
      <c r="F16" s="30">
        <v>1.1956944633466293</v>
      </c>
      <c r="G16" s="30">
        <f t="shared" si="0"/>
        <v>0.47569446334662935</v>
      </c>
      <c r="H16" s="30">
        <f t="shared" si="1"/>
        <v>66.068675464809644</v>
      </c>
      <c r="I16" s="20"/>
      <c r="J16" s="20"/>
      <c r="K16" s="20"/>
      <c r="L16" s="20"/>
      <c r="M16" s="20"/>
    </row>
    <row r="17" spans="2:13" ht="41.4" customHeight="1" x14ac:dyDescent="0.3">
      <c r="B17" s="21"/>
      <c r="C17" s="22" t="s">
        <v>24</v>
      </c>
      <c r="D17" s="23" t="s">
        <v>18</v>
      </c>
      <c r="E17" s="30">
        <v>0.54</v>
      </c>
      <c r="F17" s="30">
        <v>0.68542670020625207</v>
      </c>
      <c r="G17" s="30">
        <f t="shared" si="0"/>
        <v>0.14542670020625204</v>
      </c>
      <c r="H17" s="30">
        <f t="shared" si="1"/>
        <v>26.930870408565184</v>
      </c>
      <c r="I17" s="20"/>
      <c r="J17" s="20"/>
      <c r="K17" s="20"/>
      <c r="L17" s="20"/>
      <c r="M17" s="20"/>
    </row>
    <row r="18" spans="2:13" ht="41.4" customHeight="1" x14ac:dyDescent="0.3">
      <c r="B18" s="21"/>
      <c r="C18" s="25" t="s">
        <v>25</v>
      </c>
      <c r="D18" s="23" t="s">
        <v>18</v>
      </c>
      <c r="E18" s="30">
        <v>11.89</v>
      </c>
      <c r="F18" s="30">
        <v>15.092080491578402</v>
      </c>
      <c r="G18" s="30">
        <f t="shared" si="0"/>
        <v>3.2020804915784016</v>
      </c>
      <c r="H18" s="30">
        <f t="shared" si="1"/>
        <v>26.930870408565184</v>
      </c>
      <c r="I18" s="20"/>
      <c r="J18" s="20"/>
      <c r="K18" s="20"/>
      <c r="L18" s="20"/>
      <c r="M18" s="20"/>
    </row>
    <row r="19" spans="2:13" ht="41.4" customHeight="1" x14ac:dyDescent="0.3">
      <c r="B19" s="21"/>
      <c r="C19" s="25" t="s">
        <v>26</v>
      </c>
      <c r="D19" s="23" t="s">
        <v>18</v>
      </c>
      <c r="E19" s="30">
        <v>0.46</v>
      </c>
      <c r="F19" s="30">
        <v>0.58388200387939992</v>
      </c>
      <c r="G19" s="30">
        <f t="shared" si="0"/>
        <v>0.1238820038793999</v>
      </c>
      <c r="H19" s="30">
        <f t="shared" si="1"/>
        <v>26.930870408565184</v>
      </c>
      <c r="I19" s="20"/>
      <c r="J19" s="20"/>
      <c r="K19" s="20"/>
      <c r="L19" s="20"/>
      <c r="M19" s="20"/>
    </row>
    <row r="20" spans="2:13" ht="41.4" customHeight="1" x14ac:dyDescent="0.3">
      <c r="B20" s="21"/>
      <c r="C20" s="22" t="s">
        <v>28</v>
      </c>
      <c r="D20" s="23" t="s">
        <v>18</v>
      </c>
      <c r="E20" s="30">
        <v>5.63</v>
      </c>
      <c r="F20" s="30">
        <v>6</v>
      </c>
      <c r="G20" s="30">
        <f t="shared" si="0"/>
        <v>0.37000000000000011</v>
      </c>
      <c r="H20" s="30">
        <f t="shared" si="1"/>
        <v>6.5719360568383678</v>
      </c>
      <c r="I20" s="39"/>
      <c r="J20" s="20"/>
    </row>
    <row r="21" spans="2:13" ht="41.4" customHeight="1" x14ac:dyDescent="0.3">
      <c r="B21" s="21"/>
      <c r="C21" s="22" t="s">
        <v>31</v>
      </c>
      <c r="D21" s="23" t="s">
        <v>18</v>
      </c>
      <c r="E21" s="30">
        <v>1.2</v>
      </c>
      <c r="F21" s="30">
        <v>2.4356883955852338</v>
      </c>
      <c r="G21" s="30">
        <f t="shared" si="0"/>
        <v>1.2356883955852338</v>
      </c>
      <c r="H21" s="30">
        <f t="shared" si="1"/>
        <v>102.97403296543615</v>
      </c>
      <c r="J21" s="20"/>
    </row>
    <row r="22" spans="2:13" s="4" customFormat="1" ht="41.4" customHeight="1" x14ac:dyDescent="0.3">
      <c r="B22" s="21"/>
      <c r="C22" s="22" t="s">
        <v>32</v>
      </c>
      <c r="D22" s="23" t="s">
        <v>18</v>
      </c>
      <c r="E22" s="30">
        <v>0.26</v>
      </c>
      <c r="F22" s="30">
        <v>0.26</v>
      </c>
      <c r="G22" s="30">
        <f t="shared" si="0"/>
        <v>0</v>
      </c>
      <c r="H22" s="30">
        <f t="shared" si="1"/>
        <v>0</v>
      </c>
      <c r="J22" s="20"/>
    </row>
    <row r="23" spans="2:13" s="4" customFormat="1" ht="41.4" customHeight="1" x14ac:dyDescent="0.3">
      <c r="B23" s="21"/>
      <c r="C23" s="22" t="s">
        <v>33</v>
      </c>
      <c r="D23" s="23" t="s">
        <v>18</v>
      </c>
      <c r="E23" s="30">
        <v>0.21</v>
      </c>
      <c r="F23" s="30">
        <v>0</v>
      </c>
      <c r="G23" s="30">
        <f t="shared" si="0"/>
        <v>-0.21</v>
      </c>
      <c r="H23" s="30">
        <f t="shared" si="1"/>
        <v>-100</v>
      </c>
      <c r="J23" s="20"/>
    </row>
    <row r="24" spans="2:13" x14ac:dyDescent="0.3">
      <c r="E24" s="40"/>
      <c r="F24" s="41"/>
      <c r="G24" s="41"/>
      <c r="H24" s="42"/>
    </row>
    <row r="25" spans="2:13" ht="36" customHeight="1" x14ac:dyDescent="0.3">
      <c r="B25" s="43" t="s">
        <v>39</v>
      </c>
      <c r="C25" s="44" t="s">
        <v>34</v>
      </c>
      <c r="D25" s="23" t="s">
        <v>18</v>
      </c>
      <c r="E25" s="30">
        <v>0.5</v>
      </c>
      <c r="F25" s="30">
        <v>0.5</v>
      </c>
      <c r="G25" s="30">
        <f t="shared" si="0"/>
        <v>0</v>
      </c>
      <c r="H25" s="30">
        <f t="shared" si="1"/>
        <v>0</v>
      </c>
    </row>
    <row r="26" spans="2:13" x14ac:dyDescent="0.3">
      <c r="E26" s="40"/>
      <c r="F26" s="41"/>
      <c r="G26" s="45"/>
      <c r="H26" s="42"/>
    </row>
    <row r="27" spans="2:13" x14ac:dyDescent="0.3">
      <c r="E27" s="40"/>
      <c r="F27" s="41"/>
      <c r="G27" s="45"/>
      <c r="H27" s="42"/>
    </row>
    <row r="28" spans="2:13" x14ac:dyDescent="0.3">
      <c r="E28" s="40"/>
      <c r="F28" s="41"/>
      <c r="G28" s="45"/>
      <c r="H28" s="42"/>
    </row>
    <row r="29" spans="2:13" x14ac:dyDescent="0.3">
      <c r="E29" s="40"/>
      <c r="F29" s="41"/>
      <c r="G29" s="45"/>
      <c r="H29" s="42"/>
    </row>
    <row r="30" spans="2:13" x14ac:dyDescent="0.3">
      <c r="E30" s="40"/>
      <c r="F30" s="41"/>
      <c r="G30" s="45"/>
      <c r="H30" s="42"/>
    </row>
    <row r="31" spans="2:13" x14ac:dyDescent="0.3">
      <c r="E31" s="40"/>
      <c r="F31" s="41"/>
      <c r="G31" s="45"/>
      <c r="H31" s="42"/>
    </row>
    <row r="32" spans="2:13" x14ac:dyDescent="0.3">
      <c r="E32" s="40"/>
      <c r="F32" s="41"/>
      <c r="G32" s="45"/>
      <c r="H32" s="42"/>
    </row>
    <row r="33" spans="5:8" x14ac:dyDescent="0.3">
      <c r="E33" s="40"/>
      <c r="F33" s="41"/>
      <c r="G33" s="45"/>
      <c r="H33" s="42"/>
    </row>
    <row r="34" spans="5:8" x14ac:dyDescent="0.3">
      <c r="E34" s="40"/>
      <c r="F34" s="41"/>
      <c r="G34" s="45"/>
      <c r="H34" s="42"/>
    </row>
    <row r="35" spans="5:8" x14ac:dyDescent="0.3">
      <c r="E35" s="40"/>
      <c r="F35" s="41"/>
      <c r="G35" s="45"/>
      <c r="H35" s="42"/>
    </row>
    <row r="36" spans="5:8" x14ac:dyDescent="0.3">
      <c r="E36" s="40"/>
      <c r="F36" s="41"/>
      <c r="G36" s="45"/>
      <c r="H36" s="42"/>
    </row>
    <row r="37" spans="5:8" x14ac:dyDescent="0.3">
      <c r="E37" s="40"/>
      <c r="F37" s="41"/>
      <c r="G37" s="45"/>
      <c r="H37" s="42"/>
    </row>
    <row r="38" spans="5:8" x14ac:dyDescent="0.3">
      <c r="E38" s="40"/>
      <c r="F38" s="41"/>
      <c r="G38" s="45"/>
      <c r="H38" s="42"/>
    </row>
    <row r="39" spans="5:8" x14ac:dyDescent="0.3">
      <c r="E39" s="40"/>
      <c r="F39" s="41"/>
      <c r="G39" s="45"/>
      <c r="H39" s="42"/>
    </row>
    <row r="40" spans="5:8" x14ac:dyDescent="0.3">
      <c r="E40" s="40"/>
      <c r="F40" s="41"/>
      <c r="G40" s="45"/>
      <c r="H40" s="42"/>
    </row>
    <row r="41" spans="5:8" x14ac:dyDescent="0.3">
      <c r="E41" s="40"/>
      <c r="F41" s="41"/>
      <c r="G41" s="45"/>
      <c r="H41" s="42"/>
    </row>
    <row r="42" spans="5:8" x14ac:dyDescent="0.3">
      <c r="E42" s="40"/>
      <c r="F42" s="41"/>
      <c r="G42" s="45"/>
      <c r="H42" s="42"/>
    </row>
    <row r="43" spans="5:8" x14ac:dyDescent="0.3">
      <c r="E43" s="40"/>
      <c r="F43" s="41"/>
      <c r="G43" s="45"/>
      <c r="H43" s="42"/>
    </row>
    <row r="44" spans="5:8" x14ac:dyDescent="0.3">
      <c r="E44" s="40"/>
      <c r="F44" s="41"/>
      <c r="G44" s="45"/>
      <c r="H44" s="42"/>
    </row>
    <row r="45" spans="5:8" x14ac:dyDescent="0.3">
      <c r="E45" s="40"/>
      <c r="F45" s="41"/>
      <c r="G45" s="45"/>
      <c r="H45" s="42"/>
    </row>
    <row r="46" spans="5:8" x14ac:dyDescent="0.3">
      <c r="E46" s="40"/>
      <c r="F46" s="41"/>
      <c r="G46" s="45"/>
      <c r="H46" s="42"/>
    </row>
    <row r="47" spans="5:8" x14ac:dyDescent="0.3">
      <c r="E47" s="40"/>
      <c r="F47" s="41"/>
      <c r="G47" s="45"/>
      <c r="H47" s="42"/>
    </row>
    <row r="48" spans="5:8" x14ac:dyDescent="0.3">
      <c r="E48" s="40"/>
      <c r="F48" s="41"/>
      <c r="G48" s="45"/>
      <c r="H48" s="42"/>
    </row>
    <row r="49" spans="5:8" x14ac:dyDescent="0.3">
      <c r="E49" s="40"/>
      <c r="F49" s="41"/>
      <c r="G49" s="45"/>
      <c r="H49" s="42"/>
    </row>
    <row r="50" spans="5:8" x14ac:dyDescent="0.3">
      <c r="E50" s="40"/>
      <c r="F50" s="41"/>
      <c r="G50" s="45"/>
      <c r="H50" s="42"/>
    </row>
    <row r="51" spans="5:8" x14ac:dyDescent="0.3">
      <c r="E51" s="40"/>
      <c r="F51" s="41"/>
      <c r="G51" s="45"/>
      <c r="H51" s="42"/>
    </row>
    <row r="52" spans="5:8" x14ac:dyDescent="0.3">
      <c r="E52" s="40"/>
      <c r="F52" s="41"/>
      <c r="G52" s="45"/>
      <c r="H52" s="42"/>
    </row>
    <row r="53" spans="5:8" x14ac:dyDescent="0.3">
      <c r="E53" s="40"/>
      <c r="F53" s="41"/>
      <c r="G53" s="45"/>
      <c r="H53" s="42"/>
    </row>
    <row r="54" spans="5:8" x14ac:dyDescent="0.3">
      <c r="E54" s="40"/>
      <c r="F54" s="41"/>
      <c r="G54" s="45"/>
      <c r="H54" s="42"/>
    </row>
    <row r="55" spans="5:8" x14ac:dyDescent="0.3">
      <c r="E55" s="40"/>
      <c r="F55" s="41"/>
      <c r="G55" s="45"/>
      <c r="H55" s="42"/>
    </row>
    <row r="56" spans="5:8" x14ac:dyDescent="0.3">
      <c r="E56" s="40"/>
      <c r="F56" s="41"/>
      <c r="G56" s="45"/>
      <c r="H56" s="42"/>
    </row>
    <row r="57" spans="5:8" x14ac:dyDescent="0.3">
      <c r="E57" s="40"/>
      <c r="F57" s="41"/>
      <c r="G57" s="45"/>
      <c r="H57" s="42"/>
    </row>
    <row r="58" spans="5:8" x14ac:dyDescent="0.3">
      <c r="E58" s="40"/>
      <c r="F58" s="41"/>
      <c r="G58" s="45"/>
      <c r="H58" s="42"/>
    </row>
    <row r="59" spans="5:8" x14ac:dyDescent="0.3">
      <c r="E59" s="40"/>
      <c r="F59" s="41"/>
      <c r="G59" s="45"/>
      <c r="H59" s="42"/>
    </row>
    <row r="60" spans="5:8" x14ac:dyDescent="0.3">
      <c r="E60" s="40"/>
      <c r="F60" s="41"/>
      <c r="G60" s="45"/>
      <c r="H60" s="42"/>
    </row>
    <row r="61" spans="5:8" x14ac:dyDescent="0.3">
      <c r="E61" s="40"/>
      <c r="F61" s="41"/>
      <c r="G61" s="45"/>
      <c r="H61" s="42"/>
    </row>
    <row r="62" spans="5:8" x14ac:dyDescent="0.3">
      <c r="E62" s="40"/>
      <c r="F62" s="41"/>
      <c r="G62" s="45"/>
      <c r="H62" s="42"/>
    </row>
    <row r="63" spans="5:8" x14ac:dyDescent="0.3">
      <c r="E63" s="40"/>
      <c r="F63" s="41"/>
      <c r="G63" s="45"/>
      <c r="H63" s="42"/>
    </row>
    <row r="64" spans="5:8" x14ac:dyDescent="0.3">
      <c r="E64" s="40"/>
      <c r="F64" s="41"/>
      <c r="G64" s="45"/>
      <c r="H64" s="42"/>
    </row>
    <row r="65" spans="5:8" x14ac:dyDescent="0.3">
      <c r="E65" s="40"/>
      <c r="F65" s="41"/>
      <c r="G65" s="45"/>
      <c r="H65" s="42"/>
    </row>
    <row r="66" spans="5:8" x14ac:dyDescent="0.3">
      <c r="E66" s="40"/>
      <c r="F66" s="41"/>
      <c r="G66" s="45"/>
      <c r="H66" s="42"/>
    </row>
    <row r="67" spans="5:8" x14ac:dyDescent="0.3">
      <c r="E67" s="40"/>
      <c r="F67" s="41"/>
      <c r="G67" s="45"/>
      <c r="H67" s="42"/>
    </row>
    <row r="68" spans="5:8" x14ac:dyDescent="0.3">
      <c r="E68" s="40"/>
      <c r="F68" s="41"/>
      <c r="G68" s="45"/>
      <c r="H68" s="42"/>
    </row>
    <row r="69" spans="5:8" x14ac:dyDescent="0.3">
      <c r="E69" s="40"/>
      <c r="F69" s="41"/>
      <c r="G69" s="45"/>
      <c r="H69" s="42"/>
    </row>
    <row r="70" spans="5:8" x14ac:dyDescent="0.3">
      <c r="E70" s="40"/>
      <c r="F70" s="41"/>
      <c r="G70" s="45"/>
      <c r="H70" s="42"/>
    </row>
    <row r="71" spans="5:8" x14ac:dyDescent="0.3">
      <c r="E71" s="40"/>
      <c r="F71" s="41"/>
      <c r="G71" s="45"/>
      <c r="H71" s="42"/>
    </row>
    <row r="72" spans="5:8" x14ac:dyDescent="0.3">
      <c r="E72" s="40"/>
      <c r="F72" s="41"/>
      <c r="G72" s="45"/>
      <c r="H72" s="42"/>
    </row>
    <row r="73" spans="5:8" x14ac:dyDescent="0.3">
      <c r="E73" s="40"/>
      <c r="F73" s="41"/>
      <c r="G73" s="45"/>
      <c r="H73" s="42"/>
    </row>
    <row r="74" spans="5:8" x14ac:dyDescent="0.3">
      <c r="E74" s="40"/>
      <c r="F74" s="41"/>
      <c r="G74" s="45"/>
      <c r="H74" s="42"/>
    </row>
    <row r="75" spans="5:8" x14ac:dyDescent="0.3">
      <c r="E75" s="40"/>
      <c r="F75" s="41"/>
      <c r="G75" s="45"/>
      <c r="H75" s="42"/>
    </row>
    <row r="76" spans="5:8" x14ac:dyDescent="0.3">
      <c r="E76" s="40"/>
      <c r="F76" s="41"/>
      <c r="G76" s="45"/>
      <c r="H76" s="42"/>
    </row>
    <row r="77" spans="5:8" x14ac:dyDescent="0.3">
      <c r="E77" s="40"/>
      <c r="F77" s="41"/>
      <c r="G77" s="45"/>
      <c r="H77" s="42"/>
    </row>
    <row r="78" spans="5:8" x14ac:dyDescent="0.3">
      <c r="E78" s="40"/>
      <c r="F78" s="41"/>
      <c r="G78" s="45"/>
      <c r="H78" s="42"/>
    </row>
    <row r="79" spans="5:8" x14ac:dyDescent="0.3">
      <c r="E79" s="40"/>
      <c r="F79" s="41"/>
      <c r="G79" s="45"/>
      <c r="H79" s="42"/>
    </row>
    <row r="80" spans="5:8" x14ac:dyDescent="0.3">
      <c r="E80" s="40"/>
      <c r="F80" s="41"/>
      <c r="G80" s="45"/>
      <c r="H80" s="42"/>
    </row>
    <row r="81" spans="5:8" x14ac:dyDescent="0.3">
      <c r="E81" s="40"/>
      <c r="F81" s="41"/>
      <c r="G81" s="45"/>
      <c r="H81" s="42"/>
    </row>
    <row r="82" spans="5:8" x14ac:dyDescent="0.3">
      <c r="E82" s="40"/>
      <c r="F82" s="41"/>
      <c r="G82" s="45"/>
      <c r="H82" s="42"/>
    </row>
    <row r="83" spans="5:8" x14ac:dyDescent="0.3">
      <c r="E83" s="40"/>
      <c r="F83" s="41"/>
      <c r="G83" s="45"/>
      <c r="H83" s="42"/>
    </row>
    <row r="84" spans="5:8" x14ac:dyDescent="0.3">
      <c r="E84" s="40"/>
      <c r="F84" s="41"/>
      <c r="G84" s="45"/>
      <c r="H84" s="42"/>
    </row>
    <row r="85" spans="5:8" x14ac:dyDescent="0.3">
      <c r="E85" s="40"/>
      <c r="F85" s="41"/>
      <c r="G85" s="45"/>
      <c r="H85" s="42"/>
    </row>
    <row r="86" spans="5:8" x14ac:dyDescent="0.3">
      <c r="E86" s="40"/>
      <c r="F86" s="41"/>
      <c r="G86" s="45"/>
      <c r="H86" s="42"/>
    </row>
    <row r="87" spans="5:8" x14ac:dyDescent="0.3">
      <c r="E87" s="40"/>
      <c r="F87" s="41"/>
      <c r="G87" s="45"/>
      <c r="H87" s="42"/>
    </row>
    <row r="88" spans="5:8" x14ac:dyDescent="0.3">
      <c r="E88" s="40"/>
      <c r="F88" s="41"/>
      <c r="G88" s="45"/>
      <c r="H88" s="42"/>
    </row>
    <row r="89" spans="5:8" x14ac:dyDescent="0.3">
      <c r="E89" s="40"/>
      <c r="F89" s="41"/>
      <c r="G89" s="45"/>
      <c r="H89" s="42"/>
    </row>
    <row r="90" spans="5:8" x14ac:dyDescent="0.3">
      <c r="E90" s="40"/>
      <c r="F90" s="41"/>
      <c r="G90" s="45"/>
      <c r="H90" s="42"/>
    </row>
    <row r="91" spans="5:8" x14ac:dyDescent="0.3">
      <c r="E91" s="40"/>
      <c r="F91" s="41"/>
      <c r="G91" s="45"/>
      <c r="H91" s="42"/>
    </row>
    <row r="92" spans="5:8" x14ac:dyDescent="0.3">
      <c r="E92" s="40"/>
      <c r="F92" s="41"/>
      <c r="G92" s="45"/>
      <c r="H92" s="42"/>
    </row>
    <row r="93" spans="5:8" x14ac:dyDescent="0.3">
      <c r="E93" s="40"/>
      <c r="F93" s="41"/>
      <c r="G93" s="45"/>
      <c r="H93" s="42"/>
    </row>
    <row r="94" spans="5:8" x14ac:dyDescent="0.3">
      <c r="E94" s="40"/>
      <c r="F94" s="41"/>
      <c r="G94" s="45"/>
      <c r="H94" s="42"/>
    </row>
    <row r="95" spans="5:8" x14ac:dyDescent="0.3">
      <c r="E95" s="40"/>
      <c r="F95" s="41"/>
      <c r="G95" s="45"/>
      <c r="H95" s="42"/>
    </row>
    <row r="96" spans="5:8" x14ac:dyDescent="0.3">
      <c r="E96" s="40"/>
      <c r="F96" s="41"/>
      <c r="G96" s="45"/>
      <c r="H96" s="42"/>
    </row>
    <row r="97" spans="5:8" x14ac:dyDescent="0.3">
      <c r="E97" s="40"/>
      <c r="F97" s="41"/>
      <c r="G97" s="45"/>
      <c r="H97" s="42"/>
    </row>
    <row r="98" spans="5:8" x14ac:dyDescent="0.3">
      <c r="E98" s="40"/>
      <c r="F98" s="41"/>
      <c r="G98" s="45"/>
      <c r="H98" s="42"/>
    </row>
    <row r="99" spans="5:8" x14ac:dyDescent="0.3">
      <c r="E99" s="40"/>
      <c r="F99" s="41"/>
      <c r="G99" s="45"/>
      <c r="H99" s="42"/>
    </row>
    <row r="100" spans="5:8" x14ac:dyDescent="0.3">
      <c r="E100" s="40"/>
      <c r="F100" s="41"/>
      <c r="G100" s="45"/>
      <c r="H100" s="42"/>
    </row>
    <row r="101" spans="5:8" x14ac:dyDescent="0.3">
      <c r="E101" s="40"/>
      <c r="F101" s="41"/>
      <c r="G101" s="45"/>
      <c r="H101" s="42"/>
    </row>
    <row r="102" spans="5:8" x14ac:dyDescent="0.3">
      <c r="E102" s="40"/>
      <c r="F102" s="41"/>
      <c r="G102" s="45"/>
      <c r="H102" s="42"/>
    </row>
    <row r="103" spans="5:8" x14ac:dyDescent="0.3">
      <c r="E103" s="40"/>
      <c r="F103" s="41"/>
      <c r="G103" s="45"/>
      <c r="H103" s="42"/>
    </row>
    <row r="104" spans="5:8" x14ac:dyDescent="0.3">
      <c r="E104" s="40"/>
      <c r="F104" s="41"/>
      <c r="G104" s="45"/>
      <c r="H104" s="42"/>
    </row>
    <row r="105" spans="5:8" x14ac:dyDescent="0.3">
      <c r="E105" s="40"/>
      <c r="F105" s="41"/>
      <c r="G105" s="45"/>
      <c r="H105" s="42"/>
    </row>
    <row r="106" spans="5:8" x14ac:dyDescent="0.3">
      <c r="E106" s="40"/>
      <c r="F106" s="41"/>
      <c r="G106" s="45"/>
      <c r="H106" s="42"/>
    </row>
    <row r="107" spans="5:8" x14ac:dyDescent="0.3">
      <c r="E107" s="40"/>
      <c r="F107" s="41"/>
      <c r="G107" s="45"/>
      <c r="H107" s="42"/>
    </row>
    <row r="108" spans="5:8" x14ac:dyDescent="0.3">
      <c r="E108" s="40"/>
      <c r="F108" s="41"/>
      <c r="G108" s="45"/>
      <c r="H108" s="42"/>
    </row>
    <row r="109" spans="5:8" x14ac:dyDescent="0.3">
      <c r="E109" s="40"/>
      <c r="F109" s="41"/>
      <c r="G109" s="45"/>
      <c r="H109" s="42"/>
    </row>
    <row r="110" spans="5:8" x14ac:dyDescent="0.3">
      <c r="E110" s="40"/>
      <c r="F110" s="41"/>
      <c r="G110" s="45"/>
      <c r="H110" s="42"/>
    </row>
    <row r="111" spans="5:8" x14ac:dyDescent="0.3">
      <c r="E111" s="40"/>
      <c r="F111" s="41"/>
      <c r="G111" s="45"/>
      <c r="H111" s="42"/>
    </row>
    <row r="112" spans="5:8" x14ac:dyDescent="0.3">
      <c r="E112" s="40"/>
      <c r="F112" s="41"/>
      <c r="G112" s="45"/>
      <c r="H112" s="42"/>
    </row>
    <row r="113" spans="5:8" x14ac:dyDescent="0.3">
      <c r="E113" s="40"/>
      <c r="F113" s="41"/>
      <c r="G113" s="45"/>
      <c r="H113" s="42"/>
    </row>
    <row r="114" spans="5:8" x14ac:dyDescent="0.3">
      <c r="E114" s="40"/>
      <c r="F114" s="41"/>
      <c r="G114" s="45"/>
      <c r="H114" s="42"/>
    </row>
    <row r="115" spans="5:8" x14ac:dyDescent="0.3">
      <c r="E115" s="40"/>
      <c r="F115" s="41"/>
      <c r="G115" s="45"/>
      <c r="H115" s="42"/>
    </row>
    <row r="116" spans="5:8" x14ac:dyDescent="0.3">
      <c r="E116" s="40"/>
      <c r="F116" s="41"/>
      <c r="G116" s="45"/>
      <c r="H116" s="42"/>
    </row>
    <row r="117" spans="5:8" x14ac:dyDescent="0.3">
      <c r="E117" s="40"/>
      <c r="F117" s="41"/>
      <c r="G117" s="45"/>
      <c r="H117" s="42"/>
    </row>
    <row r="118" spans="5:8" x14ac:dyDescent="0.3">
      <c r="E118" s="40"/>
      <c r="F118" s="41"/>
      <c r="G118" s="45"/>
      <c r="H118" s="42"/>
    </row>
    <row r="119" spans="5:8" x14ac:dyDescent="0.3">
      <c r="E119" s="40"/>
      <c r="F119" s="41"/>
      <c r="G119" s="45"/>
      <c r="H119" s="42"/>
    </row>
    <row r="120" spans="5:8" x14ac:dyDescent="0.3">
      <c r="E120" s="40"/>
      <c r="F120" s="41"/>
      <c r="G120" s="45"/>
      <c r="H120" s="42"/>
    </row>
    <row r="121" spans="5:8" x14ac:dyDescent="0.3">
      <c r="E121" s="40"/>
      <c r="F121" s="41"/>
      <c r="G121" s="45"/>
      <c r="H121" s="42"/>
    </row>
    <row r="122" spans="5:8" x14ac:dyDescent="0.3">
      <c r="E122" s="40"/>
      <c r="F122" s="41"/>
      <c r="G122" s="45"/>
      <c r="H122" s="42"/>
    </row>
    <row r="123" spans="5:8" x14ac:dyDescent="0.3">
      <c r="E123" s="40"/>
      <c r="F123" s="41"/>
      <c r="G123" s="45"/>
      <c r="H123" s="42"/>
    </row>
    <row r="124" spans="5:8" x14ac:dyDescent="0.3">
      <c r="E124" s="40"/>
      <c r="F124" s="41"/>
      <c r="G124" s="45"/>
      <c r="H124" s="42"/>
    </row>
    <row r="125" spans="5:8" x14ac:dyDescent="0.3">
      <c r="E125" s="40"/>
      <c r="F125" s="41"/>
      <c r="G125" s="45"/>
      <c r="H125" s="42"/>
    </row>
    <row r="126" spans="5:8" x14ac:dyDescent="0.3">
      <c r="E126" s="40"/>
      <c r="F126" s="41"/>
      <c r="G126" s="45"/>
      <c r="H126" s="42"/>
    </row>
    <row r="127" spans="5:8" x14ac:dyDescent="0.3">
      <c r="E127" s="40"/>
      <c r="F127" s="41"/>
      <c r="G127" s="45"/>
      <c r="H127" s="42"/>
    </row>
    <row r="128" spans="5:8" x14ac:dyDescent="0.3">
      <c r="E128" s="40"/>
      <c r="F128" s="41"/>
      <c r="G128" s="45"/>
      <c r="H128" s="42"/>
    </row>
    <row r="129" spans="5:8" x14ac:dyDescent="0.3">
      <c r="E129" s="40"/>
      <c r="F129" s="41"/>
      <c r="G129" s="45"/>
      <c r="H129" s="42"/>
    </row>
    <row r="130" spans="5:8" x14ac:dyDescent="0.3">
      <c r="E130" s="40"/>
      <c r="F130" s="41"/>
      <c r="G130" s="45"/>
      <c r="H130" s="42"/>
    </row>
    <row r="131" spans="5:8" x14ac:dyDescent="0.3">
      <c r="E131" s="40"/>
      <c r="F131" s="41"/>
      <c r="G131" s="45"/>
      <c r="H131" s="42"/>
    </row>
    <row r="132" spans="5:8" x14ac:dyDescent="0.3">
      <c r="E132" s="40"/>
      <c r="F132" s="41"/>
      <c r="G132" s="45"/>
      <c r="H132" s="42"/>
    </row>
    <row r="133" spans="5:8" x14ac:dyDescent="0.3">
      <c r="E133" s="40"/>
      <c r="F133" s="41"/>
      <c r="G133" s="45"/>
      <c r="H133" s="42"/>
    </row>
    <row r="134" spans="5:8" x14ac:dyDescent="0.3">
      <c r="E134" s="40"/>
      <c r="F134" s="41"/>
      <c r="G134" s="45"/>
      <c r="H134" s="42"/>
    </row>
    <row r="135" spans="5:8" x14ac:dyDescent="0.3">
      <c r="E135" s="40"/>
      <c r="F135" s="41"/>
      <c r="G135" s="45"/>
      <c r="H135" s="42"/>
    </row>
    <row r="136" spans="5:8" x14ac:dyDescent="0.3">
      <c r="E136" s="40"/>
      <c r="F136" s="41"/>
      <c r="G136" s="45"/>
      <c r="H136" s="42"/>
    </row>
    <row r="137" spans="5:8" x14ac:dyDescent="0.3">
      <c r="E137" s="40"/>
      <c r="F137" s="41"/>
      <c r="G137" s="45"/>
      <c r="H137" s="42"/>
    </row>
    <row r="138" spans="5:8" x14ac:dyDescent="0.3">
      <c r="E138" s="40"/>
      <c r="F138" s="41"/>
      <c r="G138" s="45"/>
      <c r="H138" s="42"/>
    </row>
    <row r="139" spans="5:8" x14ac:dyDescent="0.3">
      <c r="E139" s="40"/>
      <c r="F139" s="41"/>
      <c r="G139" s="45"/>
      <c r="H139" s="42"/>
    </row>
    <row r="140" spans="5:8" x14ac:dyDescent="0.3">
      <c r="E140" s="40"/>
      <c r="F140" s="41"/>
      <c r="G140" s="45"/>
      <c r="H140" s="42"/>
    </row>
    <row r="141" spans="5:8" x14ac:dyDescent="0.3">
      <c r="E141" s="40"/>
      <c r="F141" s="41"/>
      <c r="G141" s="45"/>
      <c r="H141" s="42"/>
    </row>
    <row r="142" spans="5:8" x14ac:dyDescent="0.3">
      <c r="E142" s="40"/>
      <c r="F142" s="41"/>
      <c r="G142" s="45"/>
      <c r="H142" s="42"/>
    </row>
    <row r="143" spans="5:8" x14ac:dyDescent="0.3">
      <c r="E143" s="40"/>
      <c r="F143" s="41"/>
      <c r="G143" s="45"/>
      <c r="H143" s="42"/>
    </row>
    <row r="144" spans="5:8" x14ac:dyDescent="0.3">
      <c r="E144" s="40"/>
      <c r="F144" s="41"/>
      <c r="G144" s="45"/>
      <c r="H144" s="42"/>
    </row>
    <row r="145" spans="5:8" x14ac:dyDescent="0.3">
      <c r="E145" s="40"/>
      <c r="F145" s="41"/>
      <c r="G145" s="45"/>
      <c r="H145" s="42"/>
    </row>
    <row r="146" spans="5:8" x14ac:dyDescent="0.3">
      <c r="E146" s="40"/>
      <c r="F146" s="41"/>
      <c r="G146" s="45"/>
      <c r="H146" s="42"/>
    </row>
    <row r="147" spans="5:8" x14ac:dyDescent="0.3">
      <c r="E147" s="40"/>
      <c r="F147" s="41"/>
      <c r="G147" s="45"/>
      <c r="H147" s="42"/>
    </row>
    <row r="148" spans="5:8" x14ac:dyDescent="0.3">
      <c r="E148" s="40"/>
      <c r="F148" s="41"/>
      <c r="G148" s="45"/>
      <c r="H148" s="42"/>
    </row>
    <row r="149" spans="5:8" x14ac:dyDescent="0.3">
      <c r="E149" s="40"/>
      <c r="F149" s="41"/>
      <c r="G149" s="45"/>
      <c r="H149" s="42"/>
    </row>
    <row r="150" spans="5:8" x14ac:dyDescent="0.3">
      <c r="E150" s="40"/>
      <c r="F150" s="41"/>
      <c r="G150" s="45"/>
      <c r="H150" s="42"/>
    </row>
    <row r="151" spans="5:8" x14ac:dyDescent="0.3">
      <c r="E151" s="40"/>
      <c r="F151" s="41"/>
      <c r="G151" s="45"/>
      <c r="H151" s="42"/>
    </row>
    <row r="152" spans="5:8" x14ac:dyDescent="0.3">
      <c r="E152" s="40"/>
      <c r="F152" s="41"/>
      <c r="G152" s="45"/>
      <c r="H152" s="42"/>
    </row>
    <row r="153" spans="5:8" x14ac:dyDescent="0.3">
      <c r="E153" s="40"/>
      <c r="F153" s="41"/>
      <c r="G153" s="45"/>
      <c r="H153" s="42"/>
    </row>
    <row r="154" spans="5:8" x14ac:dyDescent="0.3">
      <c r="E154" s="40"/>
      <c r="F154" s="41"/>
      <c r="G154" s="45"/>
      <c r="H154" s="42"/>
    </row>
    <row r="155" spans="5:8" x14ac:dyDescent="0.3">
      <c r="E155" s="40"/>
      <c r="F155" s="41"/>
      <c r="G155" s="45"/>
      <c r="H155" s="42"/>
    </row>
    <row r="156" spans="5:8" x14ac:dyDescent="0.3">
      <c r="E156" s="40"/>
      <c r="F156" s="41"/>
      <c r="G156" s="45"/>
      <c r="H156" s="42"/>
    </row>
    <row r="157" spans="5:8" x14ac:dyDescent="0.3">
      <c r="E157" s="40"/>
      <c r="F157" s="41"/>
      <c r="G157" s="45"/>
      <c r="H157" s="42"/>
    </row>
    <row r="158" spans="5:8" x14ac:dyDescent="0.3">
      <c r="E158" s="40"/>
      <c r="F158" s="41"/>
      <c r="G158" s="45"/>
      <c r="H158" s="42"/>
    </row>
    <row r="159" spans="5:8" x14ac:dyDescent="0.3">
      <c r="E159" s="40"/>
      <c r="F159" s="41"/>
      <c r="G159" s="45"/>
      <c r="H159" s="42"/>
    </row>
    <row r="160" spans="5:8" x14ac:dyDescent="0.3">
      <c r="E160" s="40"/>
      <c r="F160" s="41"/>
      <c r="G160" s="45"/>
      <c r="H160" s="42"/>
    </row>
    <row r="161" spans="5:8" x14ac:dyDescent="0.3">
      <c r="E161" s="40"/>
      <c r="F161" s="41"/>
      <c r="G161" s="45"/>
      <c r="H161" s="42"/>
    </row>
    <row r="162" spans="5:8" x14ac:dyDescent="0.3">
      <c r="E162" s="40"/>
      <c r="F162" s="41"/>
      <c r="G162" s="45"/>
      <c r="H162" s="42"/>
    </row>
    <row r="163" spans="5:8" x14ac:dyDescent="0.3">
      <c r="E163" s="40"/>
      <c r="F163" s="41"/>
      <c r="G163" s="45"/>
      <c r="H163" s="42"/>
    </row>
    <row r="164" spans="5:8" x14ac:dyDescent="0.3">
      <c r="E164" s="40"/>
      <c r="F164" s="41"/>
      <c r="G164" s="45"/>
      <c r="H164" s="42"/>
    </row>
    <row r="165" spans="5:8" x14ac:dyDescent="0.3">
      <c r="E165" s="40"/>
      <c r="F165" s="41"/>
      <c r="G165" s="45"/>
      <c r="H165" s="42"/>
    </row>
    <row r="166" spans="5:8" x14ac:dyDescent="0.3">
      <c r="E166" s="40"/>
      <c r="F166" s="41"/>
      <c r="G166" s="45"/>
      <c r="H166" s="42"/>
    </row>
    <row r="167" spans="5:8" x14ac:dyDescent="0.3">
      <c r="E167" s="40"/>
      <c r="F167" s="41"/>
      <c r="G167" s="45"/>
      <c r="H167" s="42"/>
    </row>
    <row r="168" spans="5:8" x14ac:dyDescent="0.3">
      <c r="E168" s="40"/>
      <c r="F168" s="41"/>
      <c r="G168" s="45"/>
      <c r="H168" s="42"/>
    </row>
    <row r="169" spans="5:8" x14ac:dyDescent="0.3">
      <c r="E169" s="40"/>
      <c r="F169" s="41"/>
      <c r="G169" s="45"/>
      <c r="H169" s="42"/>
    </row>
    <row r="170" spans="5:8" x14ac:dyDescent="0.3">
      <c r="E170" s="40"/>
      <c r="F170" s="41"/>
      <c r="G170" s="45"/>
      <c r="H170" s="42"/>
    </row>
    <row r="171" spans="5:8" x14ac:dyDescent="0.3">
      <c r="E171" s="40"/>
      <c r="F171" s="41"/>
      <c r="G171" s="45"/>
      <c r="H171" s="42"/>
    </row>
    <row r="172" spans="5:8" x14ac:dyDescent="0.3">
      <c r="E172" s="40"/>
      <c r="F172" s="41"/>
      <c r="G172" s="45"/>
      <c r="H172" s="42"/>
    </row>
    <row r="173" spans="5:8" x14ac:dyDescent="0.3">
      <c r="E173" s="40"/>
      <c r="F173" s="41"/>
      <c r="G173" s="45"/>
      <c r="H173" s="42"/>
    </row>
    <row r="174" spans="5:8" x14ac:dyDescent="0.3">
      <c r="E174" s="40"/>
      <c r="F174" s="41"/>
      <c r="G174" s="45"/>
      <c r="H174" s="42"/>
    </row>
    <row r="175" spans="5:8" x14ac:dyDescent="0.3">
      <c r="E175" s="40"/>
      <c r="F175" s="41"/>
      <c r="G175" s="45"/>
      <c r="H175" s="42"/>
    </row>
    <row r="176" spans="5:8" x14ac:dyDescent="0.3">
      <c r="E176" s="40"/>
      <c r="F176" s="41"/>
      <c r="G176" s="45"/>
      <c r="H176" s="42"/>
    </row>
    <row r="177" spans="5:8" x14ac:dyDescent="0.3">
      <c r="E177" s="40"/>
      <c r="F177" s="41"/>
      <c r="G177" s="45"/>
      <c r="H177" s="42"/>
    </row>
    <row r="178" spans="5:8" x14ac:dyDescent="0.3">
      <c r="E178" s="40"/>
      <c r="F178" s="41"/>
      <c r="G178" s="45"/>
      <c r="H178" s="42"/>
    </row>
    <row r="179" spans="5:8" x14ac:dyDescent="0.3">
      <c r="E179" s="40"/>
      <c r="F179" s="41"/>
      <c r="G179" s="45"/>
      <c r="H179" s="42"/>
    </row>
    <row r="180" spans="5:8" x14ac:dyDescent="0.3">
      <c r="E180" s="40"/>
      <c r="F180" s="41"/>
      <c r="G180" s="45"/>
      <c r="H180" s="42"/>
    </row>
    <row r="181" spans="5:8" x14ac:dyDescent="0.3">
      <c r="E181" s="40"/>
      <c r="F181" s="41"/>
      <c r="G181" s="45"/>
      <c r="H181" s="42"/>
    </row>
    <row r="182" spans="5:8" x14ac:dyDescent="0.3">
      <c r="E182" s="40"/>
      <c r="F182" s="41"/>
      <c r="G182" s="45"/>
      <c r="H182" s="42"/>
    </row>
    <row r="183" spans="5:8" x14ac:dyDescent="0.3">
      <c r="E183" s="40"/>
      <c r="F183" s="41"/>
      <c r="G183" s="45"/>
      <c r="H183" s="42"/>
    </row>
    <row r="184" spans="5:8" x14ac:dyDescent="0.3">
      <c r="E184" s="40"/>
      <c r="F184" s="41"/>
      <c r="G184" s="45"/>
      <c r="H184" s="42"/>
    </row>
    <row r="185" spans="5:8" x14ac:dyDescent="0.3">
      <c r="E185" s="40"/>
      <c r="F185" s="41"/>
      <c r="G185" s="45"/>
      <c r="H185" s="42"/>
    </row>
    <row r="186" spans="5:8" x14ac:dyDescent="0.3">
      <c r="E186" s="40"/>
      <c r="F186" s="41"/>
      <c r="G186" s="45"/>
      <c r="H186" s="42"/>
    </row>
    <row r="187" spans="5:8" x14ac:dyDescent="0.3">
      <c r="E187" s="40"/>
      <c r="F187" s="41"/>
      <c r="G187" s="45"/>
      <c r="H187" s="42"/>
    </row>
    <row r="188" spans="5:8" x14ac:dyDescent="0.3">
      <c r="E188" s="40"/>
      <c r="F188" s="41"/>
      <c r="G188" s="45"/>
      <c r="H188" s="42"/>
    </row>
    <row r="189" spans="5:8" x14ac:dyDescent="0.3">
      <c r="E189" s="40"/>
      <c r="F189" s="41"/>
      <c r="G189" s="45"/>
      <c r="H189" s="42"/>
    </row>
    <row r="190" spans="5:8" x14ac:dyDescent="0.3">
      <c r="E190" s="40"/>
      <c r="F190" s="41"/>
      <c r="G190" s="45"/>
      <c r="H190" s="42"/>
    </row>
    <row r="191" spans="5:8" x14ac:dyDescent="0.3">
      <c r="E191" s="40"/>
      <c r="F191" s="41"/>
      <c r="G191" s="45"/>
      <c r="H191" s="42"/>
    </row>
    <row r="192" spans="5:8" x14ac:dyDescent="0.3">
      <c r="E192" s="40"/>
      <c r="F192" s="41"/>
      <c r="G192" s="45"/>
      <c r="H192" s="42"/>
    </row>
    <row r="193" spans="5:8" x14ac:dyDescent="0.3">
      <c r="E193" s="40"/>
      <c r="F193" s="41"/>
      <c r="G193" s="45"/>
      <c r="H193" s="42"/>
    </row>
    <row r="194" spans="5:8" x14ac:dyDescent="0.3">
      <c r="E194" s="40"/>
      <c r="F194" s="41"/>
      <c r="G194" s="45"/>
      <c r="H194" s="42"/>
    </row>
    <row r="195" spans="5:8" x14ac:dyDescent="0.3">
      <c r="E195" s="40"/>
      <c r="F195" s="41"/>
      <c r="G195" s="45"/>
      <c r="H195" s="42"/>
    </row>
    <row r="196" spans="5:8" x14ac:dyDescent="0.3">
      <c r="E196" s="40"/>
      <c r="F196" s="41"/>
      <c r="G196" s="45"/>
      <c r="H196" s="42"/>
    </row>
    <row r="197" spans="5:8" x14ac:dyDescent="0.3">
      <c r="E197" s="40"/>
      <c r="F197" s="41"/>
      <c r="G197" s="45"/>
      <c r="H197" s="42"/>
    </row>
    <row r="198" spans="5:8" x14ac:dyDescent="0.3">
      <c r="E198" s="40"/>
      <c r="F198" s="41"/>
      <c r="G198" s="45"/>
      <c r="H198" s="42"/>
    </row>
    <row r="199" spans="5:8" x14ac:dyDescent="0.3">
      <c r="E199" s="40"/>
      <c r="F199" s="41"/>
      <c r="G199" s="45"/>
      <c r="H199" s="42"/>
    </row>
    <row r="200" spans="5:8" x14ac:dyDescent="0.3">
      <c r="E200" s="40"/>
      <c r="F200" s="41"/>
      <c r="G200" s="45"/>
      <c r="H200" s="42"/>
    </row>
    <row r="201" spans="5:8" x14ac:dyDescent="0.3">
      <c r="E201" s="40"/>
      <c r="F201" s="41"/>
      <c r="G201" s="45"/>
      <c r="H201" s="42"/>
    </row>
    <row r="202" spans="5:8" x14ac:dyDescent="0.3">
      <c r="E202" s="40"/>
      <c r="F202" s="41"/>
      <c r="G202" s="45"/>
      <c r="H202" s="42"/>
    </row>
    <row r="203" spans="5:8" x14ac:dyDescent="0.3">
      <c r="E203" s="40"/>
      <c r="F203" s="41"/>
      <c r="G203" s="45"/>
      <c r="H203" s="42"/>
    </row>
    <row r="204" spans="5:8" x14ac:dyDescent="0.3">
      <c r="E204" s="40"/>
      <c r="F204" s="41"/>
      <c r="G204" s="45"/>
      <c r="H204" s="42"/>
    </row>
    <row r="205" spans="5:8" x14ac:dyDescent="0.3">
      <c r="E205" s="40"/>
      <c r="F205" s="41"/>
      <c r="G205" s="45"/>
      <c r="H205" s="42"/>
    </row>
    <row r="206" spans="5:8" x14ac:dyDescent="0.3">
      <c r="E206" s="40"/>
      <c r="F206" s="41"/>
      <c r="G206" s="45"/>
      <c r="H206" s="42"/>
    </row>
    <row r="207" spans="5:8" x14ac:dyDescent="0.3">
      <c r="E207" s="40"/>
      <c r="F207" s="41"/>
      <c r="G207" s="45"/>
      <c r="H207" s="42"/>
    </row>
    <row r="208" spans="5:8" x14ac:dyDescent="0.3">
      <c r="E208" s="40"/>
      <c r="F208" s="41"/>
      <c r="G208" s="45"/>
      <c r="H208" s="42"/>
    </row>
    <row r="209" spans="5:8" x14ac:dyDescent="0.3">
      <c r="E209" s="40"/>
      <c r="F209" s="41"/>
      <c r="G209" s="45"/>
      <c r="H209" s="42"/>
    </row>
    <row r="210" spans="5:8" x14ac:dyDescent="0.3">
      <c r="E210" s="40"/>
      <c r="F210" s="41"/>
      <c r="G210" s="45"/>
      <c r="H210" s="42"/>
    </row>
    <row r="211" spans="5:8" x14ac:dyDescent="0.3">
      <c r="E211" s="40"/>
      <c r="F211" s="41"/>
      <c r="G211" s="45"/>
      <c r="H211" s="42"/>
    </row>
    <row r="212" spans="5:8" x14ac:dyDescent="0.3">
      <c r="E212" s="40"/>
      <c r="F212" s="41"/>
      <c r="G212" s="45"/>
      <c r="H212" s="42"/>
    </row>
    <row r="213" spans="5:8" x14ac:dyDescent="0.3">
      <c r="E213" s="40"/>
      <c r="F213" s="41"/>
      <c r="G213" s="45"/>
      <c r="H213" s="42"/>
    </row>
    <row r="214" spans="5:8" x14ac:dyDescent="0.3">
      <c r="E214" s="40"/>
      <c r="F214" s="41"/>
      <c r="G214" s="45"/>
      <c r="H214" s="42"/>
    </row>
    <row r="215" spans="5:8" x14ac:dyDescent="0.3">
      <c r="E215" s="40"/>
      <c r="F215" s="41"/>
      <c r="G215" s="45"/>
      <c r="H215" s="42"/>
    </row>
    <row r="216" spans="5:8" x14ac:dyDescent="0.3">
      <c r="E216" s="40"/>
      <c r="F216" s="41"/>
      <c r="G216" s="45"/>
      <c r="H216" s="42"/>
    </row>
    <row r="217" spans="5:8" x14ac:dyDescent="0.3">
      <c r="E217" s="40"/>
      <c r="F217" s="41"/>
      <c r="G217" s="45"/>
      <c r="H217" s="42"/>
    </row>
    <row r="218" spans="5:8" x14ac:dyDescent="0.3">
      <c r="E218" s="40"/>
      <c r="F218" s="41"/>
      <c r="G218" s="45"/>
      <c r="H218" s="42"/>
    </row>
    <row r="219" spans="5:8" x14ac:dyDescent="0.3">
      <c r="E219" s="40"/>
      <c r="F219" s="41"/>
      <c r="G219" s="45"/>
      <c r="H219" s="42"/>
    </row>
    <row r="220" spans="5:8" x14ac:dyDescent="0.3">
      <c r="E220" s="40"/>
      <c r="F220" s="41"/>
      <c r="G220" s="45"/>
      <c r="H220" s="42"/>
    </row>
    <row r="221" spans="5:8" x14ac:dyDescent="0.3">
      <c r="E221" s="40"/>
      <c r="F221" s="41"/>
      <c r="G221" s="45"/>
      <c r="H221" s="42"/>
    </row>
    <row r="222" spans="5:8" x14ac:dyDescent="0.3">
      <c r="E222" s="40"/>
      <c r="F222" s="41"/>
      <c r="G222" s="45"/>
      <c r="H222" s="42"/>
    </row>
    <row r="223" spans="5:8" x14ac:dyDescent="0.3">
      <c r="E223" s="40"/>
      <c r="F223" s="41"/>
      <c r="G223" s="45"/>
      <c r="H223" s="42"/>
    </row>
    <row r="224" spans="5:8" x14ac:dyDescent="0.3">
      <c r="E224" s="40"/>
      <c r="F224" s="41"/>
      <c r="G224" s="45"/>
      <c r="H224" s="42"/>
    </row>
    <row r="225" spans="5:8" x14ac:dyDescent="0.3">
      <c r="E225" s="40"/>
      <c r="F225" s="41"/>
      <c r="G225" s="45"/>
      <c r="H225" s="42"/>
    </row>
    <row r="226" spans="5:8" x14ac:dyDescent="0.3">
      <c r="E226" s="40"/>
      <c r="F226" s="41"/>
      <c r="G226" s="45"/>
      <c r="H226" s="42"/>
    </row>
    <row r="227" spans="5:8" x14ac:dyDescent="0.3">
      <c r="E227" s="40"/>
      <c r="F227" s="41"/>
      <c r="G227" s="45"/>
      <c r="H227" s="42"/>
    </row>
    <row r="228" spans="5:8" x14ac:dyDescent="0.3">
      <c r="E228" s="40"/>
      <c r="F228" s="41"/>
      <c r="G228" s="45"/>
      <c r="H228" s="42"/>
    </row>
    <row r="229" spans="5:8" x14ac:dyDescent="0.3">
      <c r="E229" s="40"/>
      <c r="F229" s="41"/>
      <c r="G229" s="45"/>
      <c r="H229" s="42"/>
    </row>
    <row r="230" spans="5:8" x14ac:dyDescent="0.3">
      <c r="E230" s="40"/>
      <c r="F230" s="41"/>
      <c r="G230" s="45"/>
      <c r="H230" s="42"/>
    </row>
    <row r="231" spans="5:8" x14ac:dyDescent="0.3">
      <c r="E231" s="40"/>
      <c r="F231" s="41"/>
      <c r="G231" s="45"/>
      <c r="H231" s="42"/>
    </row>
    <row r="232" spans="5:8" x14ac:dyDescent="0.3">
      <c r="E232" s="40"/>
      <c r="F232" s="41"/>
      <c r="G232" s="45"/>
      <c r="H232" s="42"/>
    </row>
    <row r="233" spans="5:8" x14ac:dyDescent="0.3">
      <c r="E233" s="40"/>
      <c r="F233" s="41"/>
      <c r="G233" s="45"/>
      <c r="H233" s="42"/>
    </row>
    <row r="234" spans="5:8" x14ac:dyDescent="0.3">
      <c r="E234" s="40"/>
      <c r="F234" s="41"/>
      <c r="G234" s="45"/>
      <c r="H234" s="42"/>
    </row>
    <row r="235" spans="5:8" x14ac:dyDescent="0.3">
      <c r="E235" s="40"/>
      <c r="F235" s="41"/>
      <c r="G235" s="45"/>
      <c r="H235" s="42"/>
    </row>
    <row r="236" spans="5:8" x14ac:dyDescent="0.3">
      <c r="E236" s="40"/>
      <c r="F236" s="41"/>
      <c r="G236" s="45"/>
      <c r="H236" s="42"/>
    </row>
    <row r="237" spans="5:8" x14ac:dyDescent="0.3">
      <c r="E237" s="40"/>
      <c r="F237" s="41"/>
      <c r="G237" s="45"/>
      <c r="H237" s="42"/>
    </row>
    <row r="238" spans="5:8" x14ac:dyDescent="0.3">
      <c r="E238" s="40"/>
      <c r="F238" s="41"/>
      <c r="G238" s="45"/>
      <c r="H238" s="42"/>
    </row>
    <row r="239" spans="5:8" x14ac:dyDescent="0.3">
      <c r="E239" s="40"/>
      <c r="F239" s="41"/>
      <c r="G239" s="45"/>
      <c r="H239" s="42"/>
    </row>
    <row r="240" spans="5:8" x14ac:dyDescent="0.3">
      <c r="E240" s="40"/>
      <c r="F240" s="41"/>
      <c r="G240" s="45"/>
      <c r="H240" s="42"/>
    </row>
    <row r="241" spans="5:8" x14ac:dyDescent="0.3">
      <c r="E241" s="40"/>
      <c r="F241" s="41"/>
      <c r="G241" s="45"/>
      <c r="H241" s="42"/>
    </row>
    <row r="242" spans="5:8" x14ac:dyDescent="0.3">
      <c r="E242" s="40"/>
      <c r="F242" s="41"/>
      <c r="G242" s="45"/>
      <c r="H242" s="42"/>
    </row>
    <row r="243" spans="5:8" x14ac:dyDescent="0.3">
      <c r="E243" s="40"/>
      <c r="F243" s="41"/>
      <c r="G243" s="45"/>
      <c r="H243" s="42"/>
    </row>
    <row r="244" spans="5:8" x14ac:dyDescent="0.3">
      <c r="E244" s="40"/>
      <c r="F244" s="41"/>
      <c r="G244" s="45"/>
      <c r="H244" s="42"/>
    </row>
    <row r="245" spans="5:8" x14ac:dyDescent="0.3">
      <c r="E245" s="40"/>
      <c r="F245" s="41"/>
      <c r="G245" s="45"/>
      <c r="H245" s="42"/>
    </row>
    <row r="246" spans="5:8" x14ac:dyDescent="0.3">
      <c r="E246" s="40"/>
      <c r="F246" s="41"/>
      <c r="G246" s="45"/>
      <c r="H246" s="42"/>
    </row>
    <row r="247" spans="5:8" x14ac:dyDescent="0.3">
      <c r="E247" s="40"/>
      <c r="F247" s="41"/>
      <c r="G247" s="45"/>
      <c r="H247" s="42"/>
    </row>
    <row r="248" spans="5:8" x14ac:dyDescent="0.3">
      <c r="E248" s="40"/>
      <c r="F248" s="41"/>
      <c r="G248" s="45"/>
      <c r="H248" s="42"/>
    </row>
    <row r="249" spans="5:8" x14ac:dyDescent="0.3">
      <c r="E249" s="40"/>
      <c r="F249" s="41"/>
      <c r="G249" s="45"/>
      <c r="H249" s="42"/>
    </row>
    <row r="250" spans="5:8" x14ac:dyDescent="0.3">
      <c r="E250" s="40"/>
      <c r="F250" s="41"/>
      <c r="G250" s="45"/>
      <c r="H250" s="42"/>
    </row>
    <row r="251" spans="5:8" x14ac:dyDescent="0.3">
      <c r="E251" s="40"/>
      <c r="F251" s="41"/>
      <c r="G251" s="45"/>
      <c r="H251" s="42"/>
    </row>
    <row r="252" spans="5:8" x14ac:dyDescent="0.3">
      <c r="E252" s="40"/>
      <c r="F252" s="41"/>
      <c r="G252" s="45"/>
      <c r="H252" s="42"/>
    </row>
    <row r="253" spans="5:8" x14ac:dyDescent="0.3">
      <c r="E253" s="40"/>
      <c r="F253" s="41"/>
      <c r="G253" s="45"/>
      <c r="H253" s="42"/>
    </row>
    <row r="254" spans="5:8" x14ac:dyDescent="0.3">
      <c r="E254" s="40"/>
      <c r="F254" s="41"/>
      <c r="G254" s="45"/>
      <c r="H254" s="42"/>
    </row>
    <row r="255" spans="5:8" x14ac:dyDescent="0.3">
      <c r="E255" s="40"/>
      <c r="F255" s="41"/>
      <c r="G255" s="45"/>
      <c r="H255" s="42"/>
    </row>
    <row r="256" spans="5:8" x14ac:dyDescent="0.3">
      <c r="E256" s="40"/>
      <c r="F256" s="41"/>
      <c r="G256" s="45"/>
      <c r="H256" s="42"/>
    </row>
    <row r="257" spans="5:8" x14ac:dyDescent="0.3">
      <c r="E257" s="40"/>
      <c r="F257" s="41"/>
      <c r="G257" s="45"/>
      <c r="H257" s="42"/>
    </row>
    <row r="258" spans="5:8" x14ac:dyDescent="0.3">
      <c r="E258" s="40"/>
      <c r="F258" s="41"/>
      <c r="G258" s="45"/>
      <c r="H258" s="42"/>
    </row>
    <row r="259" spans="5:8" x14ac:dyDescent="0.3">
      <c r="E259" s="40"/>
      <c r="F259" s="41"/>
      <c r="G259" s="45"/>
      <c r="H259" s="42"/>
    </row>
    <row r="260" spans="5:8" x14ac:dyDescent="0.3">
      <c r="E260" s="40"/>
      <c r="F260" s="41"/>
      <c r="G260" s="45"/>
      <c r="H260" s="42"/>
    </row>
    <row r="261" spans="5:8" x14ac:dyDescent="0.3">
      <c r="E261" s="40"/>
      <c r="F261" s="41"/>
      <c r="G261" s="45"/>
      <c r="H261" s="42"/>
    </row>
    <row r="262" spans="5:8" x14ac:dyDescent="0.3">
      <c r="E262" s="40"/>
      <c r="F262" s="41"/>
      <c r="G262" s="45"/>
      <c r="H262" s="42"/>
    </row>
    <row r="263" spans="5:8" x14ac:dyDescent="0.3">
      <c r="E263" s="40"/>
      <c r="F263" s="41"/>
      <c r="G263" s="45"/>
      <c r="H263" s="42"/>
    </row>
    <row r="264" spans="5:8" x14ac:dyDescent="0.3">
      <c r="E264" s="40"/>
      <c r="F264" s="41"/>
      <c r="G264" s="45"/>
      <c r="H264" s="42"/>
    </row>
    <row r="265" spans="5:8" x14ac:dyDescent="0.3">
      <c r="E265" s="40"/>
      <c r="F265" s="41"/>
      <c r="G265" s="45"/>
      <c r="H265" s="42"/>
    </row>
    <row r="266" spans="5:8" x14ac:dyDescent="0.3">
      <c r="E266" s="40"/>
      <c r="F266" s="41"/>
      <c r="G266" s="45"/>
      <c r="H266" s="42"/>
    </row>
  </sheetData>
  <mergeCells count="4">
    <mergeCell ref="B4:G4"/>
    <mergeCell ref="B5:G5"/>
    <mergeCell ref="B8:G8"/>
    <mergeCell ref="B6:G7"/>
  </mergeCells>
  <pageMargins left="0.59055118110236238" right="0.59055118110236238" top="0.74803149606299213" bottom="0.74803149606299213" header="0.31496062992125984" footer="0.31496062992125984"/>
  <pageSetup paperSize="9" scale="60" firstPageNumber="4294967295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54"/>
  <sheetViews>
    <sheetView workbookViewId="0">
      <selection activeCell="A2" sqref="A2"/>
    </sheetView>
  </sheetViews>
  <sheetFormatPr defaultColWidth="8.88671875" defaultRowHeight="14.4" x14ac:dyDescent="0.3"/>
  <cols>
    <col min="1" max="1" width="25.6640625" style="47" customWidth="1"/>
    <col min="2" max="2" width="28.33203125" style="47" customWidth="1"/>
    <col min="3" max="3" width="12.6640625" style="47" customWidth="1"/>
    <col min="4" max="4" width="15.6640625" style="47" customWidth="1"/>
    <col min="5" max="5" width="15.44140625" style="47" customWidth="1"/>
    <col min="6" max="11" width="13.33203125" style="47" customWidth="1"/>
    <col min="12" max="14" width="12" style="47" customWidth="1"/>
    <col min="15" max="15" width="12.6640625" style="47" customWidth="1"/>
    <col min="16" max="16" width="12" style="47" customWidth="1"/>
    <col min="17" max="17" width="12.6640625" style="47" customWidth="1"/>
    <col min="18" max="18" width="12" style="47" customWidth="1"/>
    <col min="19" max="20" width="11.6640625" style="47" customWidth="1"/>
    <col min="21" max="27" width="8.88671875" style="47"/>
    <col min="28" max="16384" width="8.88671875" style="46"/>
  </cols>
  <sheetData>
    <row r="2" spans="1:27" x14ac:dyDescent="0.3">
      <c r="A2" s="48" t="s">
        <v>40</v>
      </c>
      <c r="B2" s="49"/>
    </row>
    <row r="3" spans="1:27" s="50" customFormat="1" ht="12" x14ac:dyDescent="0.25">
      <c r="A3" s="50" t="s">
        <v>41</v>
      </c>
      <c r="B3" s="51">
        <v>36107.4</v>
      </c>
      <c r="D3" s="49"/>
    </row>
    <row r="4" spans="1:27" s="50" customFormat="1" ht="12" x14ac:dyDescent="0.25">
      <c r="A4" s="50" t="s">
        <v>42</v>
      </c>
      <c r="B4" s="51">
        <v>1327.2</v>
      </c>
      <c r="D4" s="49"/>
    </row>
    <row r="5" spans="1:27" s="50" customFormat="1" ht="12" x14ac:dyDescent="0.25">
      <c r="A5" s="50" t="s">
        <v>43</v>
      </c>
      <c r="B5" s="51">
        <v>1867.84</v>
      </c>
      <c r="D5" s="52"/>
    </row>
    <row r="6" spans="1:27" s="50" customFormat="1" ht="12" x14ac:dyDescent="0.25">
      <c r="B6" s="53">
        <f>SUM(B3:B5)</f>
        <v>39302.439999999995</v>
      </c>
      <c r="D6" s="52"/>
    </row>
    <row r="7" spans="1:27" s="50" customFormat="1" ht="12" x14ac:dyDescent="0.25">
      <c r="D7" s="54"/>
      <c r="E7" s="52"/>
    </row>
    <row r="8" spans="1:27" s="55" customFormat="1" ht="13.2" x14ac:dyDescent="0.25">
      <c r="A8" s="50" t="s">
        <v>44</v>
      </c>
      <c r="B8" s="56">
        <v>52</v>
      </c>
    </row>
    <row r="9" spans="1:27" s="55" customFormat="1" ht="13.2" x14ac:dyDescent="0.25">
      <c r="A9" s="50" t="s">
        <v>45</v>
      </c>
      <c r="B9" s="51">
        <f>B5/B8</f>
        <v>35.92</v>
      </c>
    </row>
    <row r="10" spans="1:27" x14ac:dyDescent="0.3">
      <c r="A10" s="57"/>
    </row>
    <row r="11" spans="1:27" s="58" customFormat="1" ht="39" customHeight="1" x14ac:dyDescent="0.25">
      <c r="A11" s="59" t="s">
        <v>46</v>
      </c>
      <c r="B11" s="60" t="s">
        <v>47</v>
      </c>
      <c r="C11" s="60" t="s">
        <v>48</v>
      </c>
      <c r="D11" s="61" t="s">
        <v>49</v>
      </c>
      <c r="E11" s="61" t="s">
        <v>50</v>
      </c>
      <c r="F11" s="61" t="s">
        <v>51</v>
      </c>
      <c r="G11" s="61" t="s">
        <v>52</v>
      </c>
      <c r="H11" s="61" t="s">
        <v>53</v>
      </c>
      <c r="I11" s="61" t="s">
        <v>54</v>
      </c>
      <c r="J11" s="61" t="s">
        <v>55</v>
      </c>
      <c r="K11" s="61" t="s">
        <v>56</v>
      </c>
      <c r="L11" s="61" t="s">
        <v>57</v>
      </c>
      <c r="M11" s="61" t="s">
        <v>58</v>
      </c>
      <c r="N11" s="61" t="s">
        <v>59</v>
      </c>
      <c r="O11" s="61" t="s">
        <v>60</v>
      </c>
      <c r="P11" s="61" t="s">
        <v>61</v>
      </c>
      <c r="Q11" s="62" t="s">
        <v>62</v>
      </c>
      <c r="R11" s="62" t="s">
        <v>63</v>
      </c>
      <c r="S11" s="61" t="s">
        <v>64</v>
      </c>
      <c r="T11" s="63" t="s">
        <v>11</v>
      </c>
      <c r="U11" s="64"/>
      <c r="V11" s="64"/>
      <c r="W11" s="64"/>
      <c r="X11" s="64"/>
      <c r="Y11" s="64"/>
      <c r="Z11" s="64"/>
      <c r="AA11" s="64"/>
    </row>
    <row r="12" spans="1:27" s="58" customFormat="1" ht="12" x14ac:dyDescent="0.25">
      <c r="A12" s="65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7"/>
      <c r="R12" s="67"/>
      <c r="S12" s="68"/>
      <c r="T12" s="69"/>
      <c r="U12" s="64"/>
      <c r="V12" s="64"/>
      <c r="W12" s="64"/>
      <c r="X12" s="64"/>
      <c r="Y12" s="64"/>
      <c r="Z12" s="64"/>
      <c r="AA12" s="64"/>
    </row>
    <row r="13" spans="1:27" s="70" customFormat="1" ht="12" customHeight="1" x14ac:dyDescent="0.25">
      <c r="A13" s="205" t="s">
        <v>65</v>
      </c>
      <c r="B13" s="71" t="s">
        <v>66</v>
      </c>
      <c r="C13" s="71">
        <v>1</v>
      </c>
      <c r="D13" s="71">
        <v>79000</v>
      </c>
      <c r="E13" s="71">
        <f t="shared" ref="E13:E22" si="0">C13*D13</f>
        <v>79000</v>
      </c>
      <c r="F13" s="71"/>
      <c r="G13" s="71"/>
      <c r="H13" s="71">
        <f t="shared" ref="H13:H22" si="1">E13+F13+G13</f>
        <v>79000</v>
      </c>
      <c r="I13" s="71">
        <f t="shared" ref="I13:I14" si="2">13890*30.2%+(H13-13890)*15%</f>
        <v>13961.279999999999</v>
      </c>
      <c r="J13" s="190">
        <v>12000</v>
      </c>
      <c r="K13" s="190">
        <f>36000/12</f>
        <v>3000</v>
      </c>
      <c r="L13" s="71">
        <f>(3300+5500+1540)/12</f>
        <v>861.66666666666663</v>
      </c>
      <c r="M13" s="190">
        <f>C49</f>
        <v>93533.277777777766</v>
      </c>
      <c r="N13" s="190">
        <f>H13+H14+H15+H16+H17+I13+I14+I15+I16+I17+J13+K13+L13+L14+L15+L16+L17+M13</f>
        <v>347526.34444444446</v>
      </c>
      <c r="O13" s="190">
        <f>N13*95%*1%</f>
        <v>3301.5002722222225</v>
      </c>
      <c r="P13" s="190">
        <f>(N13+O13)*10%</f>
        <v>35082.784471666666</v>
      </c>
      <c r="Q13" s="193">
        <f>(N13+O13+P13)/B6</f>
        <v>9.8189992577644905</v>
      </c>
      <c r="R13" s="193">
        <v>5.44</v>
      </c>
      <c r="S13" s="196">
        <f>Q13-R13</f>
        <v>4.3789992577644901</v>
      </c>
      <c r="T13" s="199">
        <f>Q13/R13*100-100</f>
        <v>80.496309885376661</v>
      </c>
      <c r="U13" s="76"/>
      <c r="V13" s="76"/>
      <c r="W13" s="76"/>
      <c r="X13" s="76"/>
      <c r="Y13" s="76"/>
      <c r="Z13" s="76"/>
      <c r="AA13" s="76"/>
    </row>
    <row r="14" spans="1:27" s="70" customFormat="1" ht="14.4" customHeight="1" x14ac:dyDescent="0.25">
      <c r="A14" s="205"/>
      <c r="B14" s="71" t="s">
        <v>67</v>
      </c>
      <c r="C14" s="71">
        <v>1</v>
      </c>
      <c r="D14" s="71">
        <v>6000</v>
      </c>
      <c r="E14" s="71">
        <f t="shared" si="0"/>
        <v>6000</v>
      </c>
      <c r="F14" s="71"/>
      <c r="G14" s="71">
        <f t="shared" ref="G14:G22" si="3">E14/12</f>
        <v>500</v>
      </c>
      <c r="H14" s="71">
        <f t="shared" si="1"/>
        <v>6500</v>
      </c>
      <c r="I14" s="71">
        <f t="shared" si="2"/>
        <v>3086.2799999999997</v>
      </c>
      <c r="J14" s="191"/>
      <c r="K14" s="191"/>
      <c r="L14" s="71">
        <f>C14*(3300+5700)/12</f>
        <v>750</v>
      </c>
      <c r="M14" s="191"/>
      <c r="N14" s="191"/>
      <c r="O14" s="191"/>
      <c r="P14" s="191"/>
      <c r="Q14" s="194"/>
      <c r="R14" s="194"/>
      <c r="S14" s="197"/>
      <c r="T14" s="200"/>
      <c r="U14" s="76"/>
      <c r="V14" s="76"/>
      <c r="W14" s="76"/>
      <c r="X14" s="76"/>
      <c r="Y14" s="76"/>
      <c r="Z14" s="76"/>
      <c r="AA14" s="76"/>
    </row>
    <row r="15" spans="1:27" s="70" customFormat="1" ht="14.4" customHeight="1" x14ac:dyDescent="0.25">
      <c r="A15" s="205"/>
      <c r="B15" s="71" t="s">
        <v>68</v>
      </c>
      <c r="C15" s="71">
        <v>1</v>
      </c>
      <c r="D15" s="71">
        <v>40000</v>
      </c>
      <c r="E15" s="71">
        <f t="shared" si="0"/>
        <v>40000</v>
      </c>
      <c r="F15" s="71"/>
      <c r="G15" s="71">
        <f t="shared" si="3"/>
        <v>3333.3333333333335</v>
      </c>
      <c r="H15" s="71">
        <f t="shared" si="1"/>
        <v>43333.333333333336</v>
      </c>
      <c r="I15" s="71">
        <f t="shared" ref="I15:I20" si="4">C15*13890*30.2%+(H15-13890*C15)*15%</f>
        <v>8611.2799999999988</v>
      </c>
      <c r="J15" s="191"/>
      <c r="K15" s="191"/>
      <c r="L15" s="71">
        <f t="shared" ref="L15:L17" si="5">C15*5700/12</f>
        <v>475</v>
      </c>
      <c r="M15" s="191"/>
      <c r="N15" s="191"/>
      <c r="O15" s="191"/>
      <c r="P15" s="191"/>
      <c r="Q15" s="194"/>
      <c r="R15" s="194"/>
      <c r="S15" s="197"/>
      <c r="T15" s="200"/>
      <c r="U15" s="76"/>
      <c r="V15" s="76"/>
      <c r="W15" s="76"/>
      <c r="X15" s="76"/>
      <c r="Y15" s="76"/>
      <c r="Z15" s="76"/>
      <c r="AA15" s="76"/>
    </row>
    <row r="16" spans="1:27" s="70" customFormat="1" ht="14.4" customHeight="1" x14ac:dyDescent="0.25">
      <c r="A16" s="205"/>
      <c r="B16" s="71" t="s">
        <v>68</v>
      </c>
      <c r="C16" s="71">
        <v>1</v>
      </c>
      <c r="D16" s="71">
        <v>40000</v>
      </c>
      <c r="E16" s="71">
        <f t="shared" si="0"/>
        <v>40000</v>
      </c>
      <c r="F16" s="71"/>
      <c r="G16" s="71">
        <f t="shared" si="3"/>
        <v>3333.3333333333335</v>
      </c>
      <c r="H16" s="71">
        <f t="shared" si="1"/>
        <v>43333.333333333336</v>
      </c>
      <c r="I16" s="71">
        <f t="shared" si="4"/>
        <v>8611.2799999999988</v>
      </c>
      <c r="J16" s="191"/>
      <c r="K16" s="191"/>
      <c r="L16" s="71">
        <f t="shared" si="5"/>
        <v>475</v>
      </c>
      <c r="M16" s="191"/>
      <c r="N16" s="191"/>
      <c r="O16" s="191"/>
      <c r="P16" s="191"/>
      <c r="Q16" s="194"/>
      <c r="R16" s="194"/>
      <c r="S16" s="197"/>
      <c r="T16" s="200"/>
      <c r="U16" s="76"/>
      <c r="V16" s="76"/>
      <c r="W16" s="76"/>
      <c r="X16" s="76"/>
      <c r="Y16" s="76"/>
      <c r="Z16" s="76"/>
      <c r="AA16" s="76"/>
    </row>
    <row r="17" spans="1:27" s="70" customFormat="1" ht="14.4" customHeight="1" x14ac:dyDescent="0.25">
      <c r="A17" s="205"/>
      <c r="B17" s="71" t="s">
        <v>68</v>
      </c>
      <c r="C17" s="71">
        <v>1</v>
      </c>
      <c r="D17" s="77">
        <v>22000</v>
      </c>
      <c r="E17" s="71">
        <f t="shared" si="0"/>
        <v>22000</v>
      </c>
      <c r="F17" s="71"/>
      <c r="G17" s="71">
        <f t="shared" si="3"/>
        <v>1833.3333333333333</v>
      </c>
      <c r="H17" s="71">
        <f t="shared" si="1"/>
        <v>23833.333333333332</v>
      </c>
      <c r="I17" s="71">
        <f t="shared" si="4"/>
        <v>5686.28</v>
      </c>
      <c r="J17" s="192"/>
      <c r="K17" s="192"/>
      <c r="L17" s="71">
        <f t="shared" si="5"/>
        <v>475</v>
      </c>
      <c r="M17" s="192"/>
      <c r="N17" s="192"/>
      <c r="O17" s="192"/>
      <c r="P17" s="192"/>
      <c r="Q17" s="195"/>
      <c r="R17" s="195"/>
      <c r="S17" s="198"/>
      <c r="T17" s="201"/>
      <c r="U17" s="76"/>
      <c r="V17" s="76"/>
      <c r="W17" s="76"/>
      <c r="X17" s="76"/>
      <c r="Y17" s="76"/>
      <c r="Z17" s="76"/>
      <c r="AA17" s="76"/>
    </row>
    <row r="18" spans="1:27" s="58" customFormat="1" ht="14.4" customHeight="1" x14ac:dyDescent="0.25">
      <c r="A18" s="78"/>
      <c r="B18" s="79"/>
      <c r="C18" s="79"/>
      <c r="D18" s="79"/>
      <c r="E18" s="79"/>
      <c r="F18" s="79"/>
      <c r="G18" s="79"/>
      <c r="H18" s="79"/>
      <c r="I18" s="79"/>
      <c r="J18" s="72"/>
      <c r="K18" s="79"/>
      <c r="L18" s="79"/>
      <c r="M18" s="72"/>
      <c r="N18" s="72"/>
      <c r="O18" s="72"/>
      <c r="P18" s="72"/>
      <c r="Q18" s="73"/>
      <c r="R18" s="73"/>
      <c r="S18" s="74"/>
      <c r="T18" s="75"/>
      <c r="U18" s="64"/>
      <c r="V18" s="64"/>
      <c r="W18" s="64"/>
      <c r="X18" s="64"/>
      <c r="Y18" s="64"/>
      <c r="Z18" s="64"/>
      <c r="AA18" s="64"/>
    </row>
    <row r="19" spans="1:27" s="70" customFormat="1" ht="14.4" customHeight="1" x14ac:dyDescent="0.25">
      <c r="A19" s="78" t="s">
        <v>31</v>
      </c>
      <c r="B19" s="72" t="s">
        <v>69</v>
      </c>
      <c r="C19" s="72">
        <v>4</v>
      </c>
      <c r="D19" s="72">
        <f>25000-16100</f>
        <v>8900</v>
      </c>
      <c r="E19" s="72">
        <f t="shared" si="0"/>
        <v>35600</v>
      </c>
      <c r="F19" s="72">
        <f>22575/12</f>
        <v>1881.25</v>
      </c>
      <c r="G19" s="72">
        <f t="shared" si="3"/>
        <v>2966.6666666666665</v>
      </c>
      <c r="H19" s="72">
        <f t="shared" si="1"/>
        <v>40447.916666666664</v>
      </c>
      <c r="I19" s="71">
        <f t="shared" si="4"/>
        <v>14512.307499999999</v>
      </c>
      <c r="J19" s="72">
        <f>237853/12</f>
        <v>19821.083333333332</v>
      </c>
      <c r="K19" s="72">
        <f>C19*(3662/12+3748/24)</f>
        <v>1845.3333333333335</v>
      </c>
      <c r="L19" s="72">
        <f>C19*2950/12</f>
        <v>983.33333333333337</v>
      </c>
      <c r="M19" s="72">
        <f>C54</f>
        <v>4500</v>
      </c>
      <c r="N19" s="72">
        <f t="shared" ref="N19:N22" si="6">H19+I19+J19+K19+L19+M19</f>
        <v>82109.974166666652</v>
      </c>
      <c r="O19" s="72">
        <f t="shared" ref="O19:O22" si="7">N19*95%*1%</f>
        <v>780.04475458333309</v>
      </c>
      <c r="P19" s="72">
        <f t="shared" ref="P19:P22" si="8">(N19+O19)*10%</f>
        <v>8289.0018921249994</v>
      </c>
      <c r="Q19" s="73">
        <f>(N19+O19+P19)/(B3+B4)</f>
        <v>2.4356883955852338</v>
      </c>
      <c r="R19" s="73">
        <v>1.2</v>
      </c>
      <c r="S19" s="74">
        <f t="shared" ref="S19:S22" si="9">Q19-R19</f>
        <v>1.2356883955852338</v>
      </c>
      <c r="T19" s="75">
        <f t="shared" ref="T19:T22" si="10">Q19/R19*100-100</f>
        <v>102.97403296543615</v>
      </c>
      <c r="U19" s="76"/>
      <c r="V19" s="76"/>
      <c r="W19" s="76"/>
      <c r="X19" s="76"/>
      <c r="Y19" s="76"/>
      <c r="Z19" s="76"/>
      <c r="AA19" s="76"/>
    </row>
    <row r="20" spans="1:27" s="70" customFormat="1" ht="14.4" customHeight="1" x14ac:dyDescent="0.25">
      <c r="A20" s="78" t="s">
        <v>30</v>
      </c>
      <c r="B20" s="72" t="s">
        <v>70</v>
      </c>
      <c r="C20" s="72">
        <v>28</v>
      </c>
      <c r="D20" s="72">
        <v>16100</v>
      </c>
      <c r="E20" s="72">
        <f t="shared" si="0"/>
        <v>450800</v>
      </c>
      <c r="F20" s="72">
        <f>197225/12</f>
        <v>16435.416666666668</v>
      </c>
      <c r="G20" s="72">
        <f t="shared" si="3"/>
        <v>37566.666666666664</v>
      </c>
      <c r="H20" s="72">
        <f t="shared" si="1"/>
        <v>504802.08333333337</v>
      </c>
      <c r="I20" s="71">
        <f t="shared" si="4"/>
        <v>134836.1525</v>
      </c>
      <c r="J20" s="72">
        <f>16320/12</f>
        <v>1360</v>
      </c>
      <c r="K20" s="72">
        <f>24*(2076/12+2448/24)</f>
        <v>6600</v>
      </c>
      <c r="L20" s="72"/>
      <c r="M20" s="72"/>
      <c r="N20" s="72">
        <f t="shared" si="6"/>
        <v>647598.23583333334</v>
      </c>
      <c r="O20" s="72">
        <f t="shared" si="7"/>
        <v>6152.1832404166671</v>
      </c>
      <c r="P20" s="72">
        <f t="shared" si="8"/>
        <v>65375.041907375009</v>
      </c>
      <c r="Q20" s="73">
        <f>(N20+O20+P20)/B3</f>
        <v>19.916290316697545</v>
      </c>
      <c r="R20" s="73">
        <v>14.32</v>
      </c>
      <c r="S20" s="74">
        <f t="shared" si="9"/>
        <v>5.5962903166975444</v>
      </c>
      <c r="T20" s="75">
        <f t="shared" si="10"/>
        <v>39.080239641742622</v>
      </c>
      <c r="U20" s="76"/>
      <c r="V20" s="76"/>
      <c r="W20" s="76"/>
      <c r="X20" s="76"/>
      <c r="Y20" s="76"/>
      <c r="Z20" s="76"/>
      <c r="AA20" s="76"/>
    </row>
    <row r="21" spans="1:27" s="70" customFormat="1" ht="14.4" customHeight="1" x14ac:dyDescent="0.25">
      <c r="A21" s="78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3"/>
      <c r="R21" s="73"/>
      <c r="S21" s="74"/>
      <c r="T21" s="75"/>
      <c r="U21" s="76"/>
      <c r="V21" s="76"/>
      <c r="W21" s="76"/>
      <c r="X21" s="76"/>
      <c r="Y21" s="76"/>
      <c r="Z21" s="76"/>
      <c r="AA21" s="76"/>
    </row>
    <row r="22" spans="1:27" s="70" customFormat="1" ht="14.4" customHeight="1" x14ac:dyDescent="0.25">
      <c r="A22" s="78" t="s">
        <v>29</v>
      </c>
      <c r="B22" s="72" t="s">
        <v>71</v>
      </c>
      <c r="C22" s="72">
        <v>1</v>
      </c>
      <c r="D22" s="72">
        <v>13000</v>
      </c>
      <c r="E22" s="72">
        <f t="shared" si="0"/>
        <v>13000</v>
      </c>
      <c r="F22" s="72"/>
      <c r="G22" s="72">
        <f t="shared" si="3"/>
        <v>1083.3333333333333</v>
      </c>
      <c r="H22" s="72">
        <f t="shared" si="1"/>
        <v>14083.333333333334</v>
      </c>
      <c r="I22" s="72">
        <f>H22*15%</f>
        <v>2112.5</v>
      </c>
      <c r="J22" s="72"/>
      <c r="K22" s="72"/>
      <c r="L22" s="72"/>
      <c r="M22" s="72"/>
      <c r="N22" s="72">
        <f t="shared" si="6"/>
        <v>16195.833333333334</v>
      </c>
      <c r="O22" s="72">
        <f t="shared" si="7"/>
        <v>153.86041666666665</v>
      </c>
      <c r="P22" s="72">
        <f t="shared" si="8"/>
        <v>1634.9693750000001</v>
      </c>
      <c r="Q22" s="73">
        <f>(N22+O22+P22)/B3</f>
        <v>0.49808801312196388</v>
      </c>
      <c r="R22" s="73">
        <v>0.45</v>
      </c>
      <c r="S22" s="74">
        <f t="shared" si="9"/>
        <v>4.8088013121963868E-2</v>
      </c>
      <c r="T22" s="75">
        <f t="shared" si="10"/>
        <v>10.686225138214198</v>
      </c>
      <c r="U22" s="76"/>
      <c r="V22" s="76"/>
      <c r="W22" s="76"/>
      <c r="X22" s="76"/>
      <c r="Y22" s="76"/>
      <c r="Z22" s="76"/>
      <c r="AA22" s="76"/>
    </row>
    <row r="23" spans="1:27" s="80" customFormat="1" ht="12" x14ac:dyDescent="0.25">
      <c r="A23" s="81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3"/>
      <c r="R23" s="83"/>
      <c r="S23" s="84"/>
      <c r="T23" s="85"/>
      <c r="U23" s="86"/>
      <c r="V23" s="86"/>
      <c r="W23" s="86"/>
      <c r="X23" s="86"/>
      <c r="Y23" s="86"/>
      <c r="Z23" s="86"/>
      <c r="AA23" s="86"/>
    </row>
    <row r="24" spans="1:27" s="87" customFormat="1" x14ac:dyDescent="0.3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</row>
    <row r="25" spans="1:27" s="58" customFormat="1" ht="81.599999999999994" customHeight="1" x14ac:dyDescent="0.25">
      <c r="A25" s="59" t="s">
        <v>46</v>
      </c>
      <c r="B25" s="89" t="s">
        <v>72</v>
      </c>
      <c r="C25" s="61" t="s">
        <v>73</v>
      </c>
      <c r="D25" s="61" t="s">
        <v>74</v>
      </c>
      <c r="E25" s="61" t="s">
        <v>59</v>
      </c>
      <c r="F25" s="61" t="s">
        <v>60</v>
      </c>
      <c r="G25" s="61" t="s">
        <v>61</v>
      </c>
      <c r="H25" s="62" t="s">
        <v>62</v>
      </c>
      <c r="I25" s="62" t="s">
        <v>63</v>
      </c>
      <c r="J25" s="61" t="s">
        <v>64</v>
      </c>
      <c r="K25" s="63" t="s">
        <v>11</v>
      </c>
      <c r="M25" s="59" t="s">
        <v>20</v>
      </c>
      <c r="N25" s="89" t="s">
        <v>75</v>
      </c>
      <c r="O25" s="60" t="s">
        <v>76</v>
      </c>
      <c r="P25" s="90" t="s">
        <v>62</v>
      </c>
      <c r="Q25" s="90" t="s">
        <v>63</v>
      </c>
      <c r="R25" s="89" t="s">
        <v>77</v>
      </c>
      <c r="S25" s="91" t="s">
        <v>11</v>
      </c>
    </row>
    <row r="26" spans="1:27" s="58" customFormat="1" ht="12" x14ac:dyDescent="0.25">
      <c r="A26" s="65"/>
      <c r="B26" s="66"/>
      <c r="C26" s="66"/>
      <c r="D26" s="66"/>
      <c r="E26" s="66"/>
      <c r="F26" s="66"/>
      <c r="G26" s="66"/>
      <c r="H26" s="67"/>
      <c r="I26" s="67"/>
      <c r="J26" s="68"/>
      <c r="K26" s="69"/>
      <c r="M26" s="92" t="s">
        <v>78</v>
      </c>
      <c r="N26" s="66">
        <f>2.83*B3</f>
        <v>102183.94200000001</v>
      </c>
      <c r="O26" s="66">
        <f>N26*O28/N28</f>
        <v>156064.04595414217</v>
      </c>
      <c r="P26" s="93">
        <f t="shared" ref="P26:P27" si="11">O26/B3</f>
        <v>4.3222177712641221</v>
      </c>
      <c r="Q26" s="94">
        <v>2.83</v>
      </c>
      <c r="R26" s="95">
        <f t="shared" ref="R26:R27" si="12">P26-Q26</f>
        <v>1.492217771264122</v>
      </c>
      <c r="S26" s="96">
        <f t="shared" ref="S26:S27" si="13">P26/Q26*100-100</f>
        <v>52.728543154209262</v>
      </c>
    </row>
    <row r="27" spans="1:27" s="70" customFormat="1" ht="24" x14ac:dyDescent="0.25">
      <c r="A27" s="97" t="s">
        <v>79</v>
      </c>
      <c r="B27" s="71">
        <f>5*40000</f>
        <v>200000</v>
      </c>
      <c r="C27" s="71"/>
      <c r="D27" s="71"/>
      <c r="E27" s="71">
        <f>B27+C27+D27</f>
        <v>200000</v>
      </c>
      <c r="F27" s="71">
        <f>E27*95%*1%</f>
        <v>1900</v>
      </c>
      <c r="G27" s="71">
        <f>(E27+F27)*10%</f>
        <v>20190</v>
      </c>
      <c r="H27" s="98">
        <f>(E27+F27+G27)/(B3+B5)</f>
        <v>5.8482843031406784</v>
      </c>
      <c r="I27" s="98">
        <v>4.49</v>
      </c>
      <c r="J27" s="99">
        <f>H27-I27</f>
        <v>1.3582843031406782</v>
      </c>
      <c r="K27" s="100">
        <f>H27/I27*100-100</f>
        <v>30.251320782643177</v>
      </c>
      <c r="M27" s="101" t="s">
        <v>42</v>
      </c>
      <c r="N27" s="71">
        <f>5.41*B4</f>
        <v>7180.152</v>
      </c>
      <c r="O27" s="71">
        <f>N27*O28/N28</f>
        <v>10966.141545857819</v>
      </c>
      <c r="P27" s="102">
        <f t="shared" si="11"/>
        <v>8.2626141846427217</v>
      </c>
      <c r="Q27" s="103">
        <v>5.41</v>
      </c>
      <c r="R27" s="104">
        <f t="shared" si="12"/>
        <v>2.8526141846427215</v>
      </c>
      <c r="S27" s="105">
        <f t="shared" si="13"/>
        <v>52.728543154209262</v>
      </c>
    </row>
    <row r="28" spans="1:27" s="58" customFormat="1" ht="12" customHeight="1" x14ac:dyDescent="0.25">
      <c r="A28" s="97"/>
      <c r="B28" s="106"/>
      <c r="C28" s="106"/>
      <c r="D28" s="106"/>
      <c r="E28" s="71"/>
      <c r="F28" s="71"/>
      <c r="G28" s="71"/>
      <c r="H28" s="98"/>
      <c r="I28" s="98"/>
      <c r="J28" s="99"/>
      <c r="K28" s="100"/>
      <c r="M28" s="107"/>
      <c r="N28" s="108">
        <f>SUM(N26:N27)</f>
        <v>109364.09400000001</v>
      </c>
      <c r="O28" s="108">
        <f>E29+F29+G29</f>
        <v>167030.1875</v>
      </c>
      <c r="P28" s="109"/>
      <c r="Q28" s="109"/>
      <c r="R28" s="110"/>
      <c r="S28" s="111"/>
    </row>
    <row r="29" spans="1:27" s="70" customFormat="1" ht="21.6" customHeight="1" x14ac:dyDescent="0.25">
      <c r="A29" s="97" t="s">
        <v>20</v>
      </c>
      <c r="B29" s="71">
        <f>3*40000</f>
        <v>120000</v>
      </c>
      <c r="C29" s="71">
        <f>135000/12</f>
        <v>11250</v>
      </c>
      <c r="D29" s="71">
        <f>230000/12</f>
        <v>19166.666666666668</v>
      </c>
      <c r="E29" s="71">
        <f>B29+C29+D29</f>
        <v>150416.66666666666</v>
      </c>
      <c r="F29" s="71">
        <f>E29*95%*1%</f>
        <v>1428.9583333333333</v>
      </c>
      <c r="G29" s="71">
        <f>(E29+F29)*10%</f>
        <v>15184.5625</v>
      </c>
      <c r="H29" s="98"/>
      <c r="I29" s="98"/>
      <c r="J29" s="99"/>
      <c r="K29" s="100"/>
      <c r="N29" s="76"/>
      <c r="O29" s="76"/>
    </row>
    <row r="30" spans="1:27" s="80" customFormat="1" ht="13.8" x14ac:dyDescent="0.25">
      <c r="A30" s="81"/>
      <c r="B30" s="82"/>
      <c r="C30" s="82"/>
      <c r="D30" s="82"/>
      <c r="E30" s="82"/>
      <c r="F30" s="82"/>
      <c r="G30" s="82"/>
      <c r="H30" s="83"/>
      <c r="I30" s="83"/>
      <c r="J30" s="84"/>
      <c r="K30" s="85"/>
      <c r="N30" s="88"/>
      <c r="O30" s="88"/>
      <c r="P30" s="88"/>
      <c r="Q30" s="86"/>
      <c r="R30" s="86"/>
      <c r="S30" s="86"/>
      <c r="T30" s="86"/>
      <c r="U30" s="86"/>
      <c r="V30" s="86"/>
      <c r="W30" s="86"/>
    </row>
    <row r="31" spans="1:27" s="80" customFormat="1" ht="13.8" x14ac:dyDescent="0.25">
      <c r="A31" s="112"/>
      <c r="B31" s="112"/>
      <c r="C31" s="112"/>
      <c r="D31" s="112"/>
      <c r="E31" s="112"/>
      <c r="F31" s="112"/>
      <c r="G31" s="112"/>
      <c r="H31" s="112"/>
      <c r="J31" s="88"/>
      <c r="K31" s="88"/>
      <c r="L31" s="113"/>
      <c r="N31" s="88"/>
      <c r="O31" s="88"/>
      <c r="P31" s="88"/>
      <c r="Q31" s="86"/>
      <c r="R31" s="86"/>
      <c r="S31" s="86"/>
      <c r="T31" s="86"/>
      <c r="U31" s="86"/>
      <c r="V31" s="86"/>
      <c r="W31" s="86"/>
    </row>
    <row r="32" spans="1:27" s="80" customFormat="1" ht="34.200000000000003" x14ac:dyDescent="0.25">
      <c r="A32" s="59" t="s">
        <v>46</v>
      </c>
      <c r="B32" s="89" t="s">
        <v>80</v>
      </c>
      <c r="C32" s="61" t="s">
        <v>60</v>
      </c>
      <c r="D32" s="61" t="s">
        <v>61</v>
      </c>
      <c r="E32" s="62" t="s">
        <v>62</v>
      </c>
      <c r="F32" s="62" t="s">
        <v>63</v>
      </c>
      <c r="G32" s="61" t="s">
        <v>64</v>
      </c>
      <c r="H32" s="63" t="s">
        <v>11</v>
      </c>
      <c r="N32" s="88"/>
      <c r="O32" s="88"/>
      <c r="P32" s="88"/>
      <c r="Q32" s="86"/>
      <c r="R32" s="86"/>
      <c r="S32" s="86"/>
      <c r="T32" s="86"/>
      <c r="U32" s="86"/>
      <c r="V32" s="86"/>
      <c r="W32" s="86"/>
    </row>
    <row r="33" spans="1:27" s="80" customFormat="1" ht="13.8" x14ac:dyDescent="0.25">
      <c r="A33" s="65"/>
      <c r="B33" s="66"/>
      <c r="C33" s="66"/>
      <c r="D33" s="66"/>
      <c r="E33" s="67"/>
      <c r="F33" s="67"/>
      <c r="G33" s="68"/>
      <c r="H33" s="69"/>
      <c r="N33" s="88"/>
      <c r="O33" s="88"/>
      <c r="P33" s="88"/>
      <c r="Q33" s="86"/>
      <c r="R33" s="86"/>
      <c r="S33" s="86"/>
      <c r="T33" s="86"/>
      <c r="U33" s="86"/>
      <c r="V33" s="86"/>
      <c r="W33" s="86"/>
    </row>
    <row r="34" spans="1:27" s="114" customFormat="1" ht="24" x14ac:dyDescent="0.25">
      <c r="A34" s="97" t="s">
        <v>81</v>
      </c>
      <c r="B34" s="71">
        <v>248200</v>
      </c>
      <c r="C34" s="71">
        <f>B34*95%*1%</f>
        <v>2357.9</v>
      </c>
      <c r="D34" s="71">
        <f>(B34+C34)*10%</f>
        <v>25055.79</v>
      </c>
      <c r="E34" s="98">
        <f>(B34+C34+D34)/B6</f>
        <v>7.0126356022679515</v>
      </c>
      <c r="F34" s="98">
        <v>4.41</v>
      </c>
      <c r="G34" s="99">
        <f>E34-F34</f>
        <v>2.6026356022679513</v>
      </c>
      <c r="H34" s="100">
        <f>E34/F34*100-100</f>
        <v>59.01668032353632</v>
      </c>
      <c r="N34" s="115"/>
      <c r="O34" s="115"/>
      <c r="P34" s="115"/>
      <c r="Q34" s="116"/>
      <c r="R34" s="116"/>
      <c r="S34" s="116"/>
      <c r="T34" s="116"/>
      <c r="U34" s="116"/>
      <c r="V34" s="116"/>
      <c r="W34" s="116"/>
    </row>
    <row r="35" spans="1:27" s="80" customFormat="1" ht="13.8" x14ac:dyDescent="0.25">
      <c r="A35" s="81"/>
      <c r="B35" s="82"/>
      <c r="C35" s="82"/>
      <c r="D35" s="82"/>
      <c r="E35" s="83"/>
      <c r="F35" s="83"/>
      <c r="G35" s="84"/>
      <c r="H35" s="85"/>
      <c r="L35" s="88"/>
      <c r="M35" s="88"/>
      <c r="N35" s="88"/>
      <c r="O35" s="86"/>
      <c r="P35" s="86"/>
      <c r="Q35" s="86"/>
      <c r="R35" s="86"/>
      <c r="S35" s="86"/>
      <c r="T35" s="86"/>
      <c r="U35" s="86"/>
    </row>
    <row r="36" spans="1:27" s="80" customFormat="1" ht="13.8" x14ac:dyDescent="0.25">
      <c r="A36" s="112"/>
      <c r="B36" s="112"/>
      <c r="C36" s="112"/>
      <c r="D36" s="112"/>
      <c r="E36" s="112"/>
      <c r="F36" s="112"/>
      <c r="G36" s="112"/>
      <c r="H36" s="112"/>
      <c r="I36" s="113"/>
      <c r="J36" s="113"/>
      <c r="L36" s="88"/>
      <c r="M36" s="88"/>
      <c r="N36" s="88"/>
      <c r="O36" s="86"/>
      <c r="P36" s="86"/>
      <c r="Q36" s="86"/>
      <c r="R36" s="86"/>
      <c r="S36" s="86"/>
      <c r="T36" s="86"/>
      <c r="U36" s="86"/>
    </row>
    <row r="37" spans="1:27" s="87" customFormat="1" x14ac:dyDescent="0.3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</row>
    <row r="38" spans="1:27" s="87" customFormat="1" ht="37.950000000000003" customHeight="1" x14ac:dyDescent="0.3">
      <c r="A38" s="202" t="s">
        <v>82</v>
      </c>
      <c r="B38" s="118" t="s">
        <v>46</v>
      </c>
      <c r="C38" s="117" t="s">
        <v>83</v>
      </c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</row>
    <row r="39" spans="1:27" s="87" customFormat="1" ht="31.2" customHeight="1" x14ac:dyDescent="0.3">
      <c r="A39" s="202"/>
      <c r="B39" s="203" t="s">
        <v>65</v>
      </c>
      <c r="C39" s="204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119"/>
      <c r="O39" s="119"/>
      <c r="P39" s="119"/>
      <c r="Q39" s="119"/>
      <c r="R39" s="119"/>
      <c r="S39" s="119"/>
      <c r="T39" s="119"/>
      <c r="U39" s="88"/>
      <c r="V39" s="88"/>
      <c r="W39" s="88"/>
      <c r="X39" s="88"/>
      <c r="Y39" s="88"/>
      <c r="Z39" s="88"/>
      <c r="AA39" s="88"/>
    </row>
    <row r="40" spans="1:27" s="120" customFormat="1" ht="25.2" customHeight="1" x14ac:dyDescent="0.25">
      <c r="A40" s="202"/>
      <c r="B40" s="121" t="s">
        <v>84</v>
      </c>
      <c r="C40" s="122">
        <f>13290/12</f>
        <v>1107.5</v>
      </c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</row>
    <row r="41" spans="1:27" s="120" customFormat="1" ht="25.2" customHeight="1" x14ac:dyDescent="0.25">
      <c r="A41" s="202"/>
      <c r="B41" s="123" t="s">
        <v>85</v>
      </c>
      <c r="C41" s="124">
        <f>152826/12</f>
        <v>12735.5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</row>
    <row r="42" spans="1:27" s="120" customFormat="1" ht="25.2" customHeight="1" x14ac:dyDescent="0.25">
      <c r="A42" s="202"/>
      <c r="B42" s="123" t="s">
        <v>86</v>
      </c>
      <c r="C42" s="124">
        <f>6000/12</f>
        <v>500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50"/>
      <c r="O42" s="50"/>
      <c r="P42" s="50"/>
      <c r="Q42" s="50"/>
      <c r="R42" s="50"/>
      <c r="S42" s="50"/>
      <c r="T42" s="50"/>
      <c r="U42" s="119"/>
      <c r="V42" s="119"/>
      <c r="W42" s="119"/>
      <c r="X42" s="119"/>
      <c r="Y42" s="119"/>
      <c r="Z42" s="119"/>
      <c r="AA42" s="119"/>
    </row>
    <row r="43" spans="1:27" s="125" customFormat="1" ht="24.6" customHeight="1" x14ac:dyDescent="0.25">
      <c r="A43" s="202"/>
      <c r="B43" s="123" t="s">
        <v>87</v>
      </c>
      <c r="C43" s="124">
        <f>72000/12</f>
        <v>6000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</row>
    <row r="44" spans="1:27" s="125" customFormat="1" ht="48" x14ac:dyDescent="0.25">
      <c r="A44" s="202"/>
      <c r="B44" s="123" t="s">
        <v>88</v>
      </c>
      <c r="C44" s="124">
        <f>120000/12</f>
        <v>10000</v>
      </c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</row>
    <row r="45" spans="1:27" s="125" customFormat="1" ht="24" x14ac:dyDescent="0.25">
      <c r="A45" s="202"/>
      <c r="B45" s="126" t="s">
        <v>89</v>
      </c>
      <c r="C45" s="127">
        <f>250000/36</f>
        <v>6944.4444444444443</v>
      </c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</row>
    <row r="46" spans="1:27" s="125" customFormat="1" ht="26.4" customHeight="1" x14ac:dyDescent="0.25">
      <c r="A46" s="202"/>
      <c r="B46" s="126" t="s">
        <v>90</v>
      </c>
      <c r="C46" s="127">
        <f>189000/12</f>
        <v>15750</v>
      </c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</row>
    <row r="47" spans="1:27" s="125" customFormat="1" ht="26.4" customHeight="1" x14ac:dyDescent="0.25">
      <c r="A47" s="202"/>
      <c r="B47" s="126" t="s">
        <v>91</v>
      </c>
      <c r="C47" s="127">
        <f>393600/12</f>
        <v>32800</v>
      </c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</row>
    <row r="48" spans="1:27" s="125" customFormat="1" ht="26.4" customHeight="1" x14ac:dyDescent="0.25">
      <c r="A48" s="202"/>
      <c r="B48" s="126" t="s">
        <v>92</v>
      </c>
      <c r="C48" s="127">
        <f>92350/12</f>
        <v>7695.833333333333</v>
      </c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47"/>
      <c r="O48" s="47"/>
      <c r="P48" s="47"/>
      <c r="Q48" s="47"/>
      <c r="R48" s="47"/>
      <c r="S48" s="47"/>
      <c r="T48" s="47"/>
      <c r="U48" s="50"/>
      <c r="V48" s="50"/>
      <c r="W48" s="50"/>
      <c r="X48" s="50"/>
      <c r="Y48" s="50"/>
      <c r="Z48" s="50"/>
      <c r="AA48" s="50"/>
    </row>
    <row r="49" spans="1:29" s="47" customFormat="1" ht="26.4" customHeight="1" x14ac:dyDescent="0.3">
      <c r="A49" s="202"/>
      <c r="B49" s="128" t="s">
        <v>93</v>
      </c>
      <c r="C49" s="129">
        <f>SUM(C40:C48)</f>
        <v>93533.277777777766</v>
      </c>
      <c r="AB49" s="46"/>
      <c r="AC49" s="46"/>
    </row>
    <row r="50" spans="1:29" s="47" customFormat="1" ht="12.6" customHeight="1" x14ac:dyDescent="0.3">
      <c r="A50" s="202"/>
      <c r="C50" s="130"/>
      <c r="AB50" s="46"/>
      <c r="AC50" s="46"/>
    </row>
    <row r="51" spans="1:29" s="47" customFormat="1" ht="26.4" customHeight="1" x14ac:dyDescent="0.3">
      <c r="A51" s="202"/>
      <c r="B51" s="203" t="s">
        <v>31</v>
      </c>
      <c r="C51" s="204"/>
      <c r="AB51" s="46"/>
      <c r="AC51" s="46"/>
    </row>
    <row r="52" spans="1:29" s="47" customFormat="1" ht="26.4" customHeight="1" x14ac:dyDescent="0.3">
      <c r="A52" s="202"/>
      <c r="B52" s="123" t="s">
        <v>94</v>
      </c>
      <c r="C52" s="124">
        <v>1200</v>
      </c>
      <c r="AB52" s="46"/>
      <c r="AC52" s="46"/>
    </row>
    <row r="53" spans="1:29" s="47" customFormat="1" ht="26.4" customHeight="1" x14ac:dyDescent="0.3">
      <c r="A53" s="202"/>
      <c r="B53" s="131" t="s">
        <v>95</v>
      </c>
      <c r="C53" s="132">
        <f>39600/12</f>
        <v>3300</v>
      </c>
      <c r="AB53" s="46"/>
      <c r="AC53" s="46"/>
    </row>
    <row r="54" spans="1:29" s="47" customFormat="1" ht="26.4" customHeight="1" x14ac:dyDescent="0.3">
      <c r="A54" s="202"/>
      <c r="B54" s="128" t="s">
        <v>93</v>
      </c>
      <c r="C54" s="129">
        <f>SUM(C52:C53)</f>
        <v>4500</v>
      </c>
      <c r="AB54" s="46"/>
      <c r="AC54" s="46"/>
    </row>
  </sheetData>
  <mergeCells count="14">
    <mergeCell ref="K13:K17"/>
    <mergeCell ref="M13:M17"/>
    <mergeCell ref="N13:N17"/>
    <mergeCell ref="O13:O17"/>
    <mergeCell ref="A38:A54"/>
    <mergeCell ref="B39:C39"/>
    <mergeCell ref="B51:C51"/>
    <mergeCell ref="A13:A17"/>
    <mergeCell ref="J13:J17"/>
    <mergeCell ref="P13:P17"/>
    <mergeCell ref="Q13:Q17"/>
    <mergeCell ref="R13:R17"/>
    <mergeCell ref="S13:S17"/>
    <mergeCell ref="T13:T17"/>
  </mergeCells>
  <pageMargins left="0.7" right="0.7" top="0.75" bottom="0.75" header="0.3" footer="0.3"/>
  <pageSetup paperSize="9" scale="52" firstPageNumber="42949672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6"/>
  <sheetViews>
    <sheetView zoomScale="90" workbookViewId="0">
      <pane xSplit="1" ySplit="11" topLeftCell="B12" activePane="bottomRight" state="frozen"/>
      <selection activeCell="L22" sqref="L22"/>
      <selection pane="topRight"/>
      <selection pane="bottomLeft"/>
      <selection pane="bottomRight" activeCell="A15" sqref="A15"/>
    </sheetView>
  </sheetViews>
  <sheetFormatPr defaultColWidth="8.88671875" defaultRowHeight="13.8" x14ac:dyDescent="0.25"/>
  <cols>
    <col min="1" max="1" width="25.6640625" style="133" customWidth="1"/>
    <col min="2" max="2" width="17.6640625" style="133" customWidth="1"/>
    <col min="3" max="4" width="16.33203125" style="133" customWidth="1"/>
    <col min="5" max="10" width="15.33203125" style="133" customWidth="1"/>
    <col min="11" max="11" width="5.33203125" style="133" customWidth="1"/>
    <col min="12" max="12" width="18.44140625" style="133" customWidth="1"/>
    <col min="13" max="13" width="15.33203125" style="133" customWidth="1"/>
    <col min="14" max="18" width="15.44140625" style="133" customWidth="1"/>
    <col min="19" max="20" width="15.33203125" style="133" customWidth="1"/>
    <col min="21" max="21" width="8.88671875" style="133"/>
    <col min="22" max="22" width="11.88671875" style="133" customWidth="1"/>
    <col min="23" max="16384" width="8.88671875" style="133"/>
  </cols>
  <sheetData>
    <row r="2" spans="1:22" x14ac:dyDescent="0.25">
      <c r="A2" s="134" t="s">
        <v>96</v>
      </c>
      <c r="B2" s="135" t="s">
        <v>97</v>
      </c>
      <c r="C2" s="135" t="s">
        <v>98</v>
      </c>
      <c r="D2" s="135" t="s">
        <v>99</v>
      </c>
    </row>
    <row r="3" spans="1:22" x14ac:dyDescent="0.25">
      <c r="A3" s="136" t="s">
        <v>41</v>
      </c>
      <c r="B3" s="137">
        <v>11771.7</v>
      </c>
      <c r="C3" s="137">
        <v>12081.9</v>
      </c>
      <c r="D3" s="137">
        <v>12253.8</v>
      </c>
    </row>
    <row r="4" spans="1:22" x14ac:dyDescent="0.25">
      <c r="A4" s="136" t="s">
        <v>42</v>
      </c>
      <c r="B4" s="137">
        <v>712.5</v>
      </c>
      <c r="C4" s="137">
        <v>410.1</v>
      </c>
      <c r="D4" s="137">
        <v>204.6</v>
      </c>
    </row>
    <row r="5" spans="1:22" x14ac:dyDescent="0.25">
      <c r="A5" s="136" t="s">
        <v>100</v>
      </c>
      <c r="B5" s="137">
        <v>0</v>
      </c>
      <c r="C5" s="137">
        <v>0</v>
      </c>
      <c r="D5" s="137">
        <v>0</v>
      </c>
    </row>
    <row r="6" spans="1:22" x14ac:dyDescent="0.25">
      <c r="A6" s="136"/>
      <c r="B6" s="138">
        <f>SUM(B3:B5)</f>
        <v>12484.2</v>
      </c>
      <c r="C6" s="138">
        <f t="shared" ref="C6:D6" si="0">SUM(C3:C5)</f>
        <v>12492</v>
      </c>
      <c r="D6" s="138">
        <f t="shared" si="0"/>
        <v>12458.4</v>
      </c>
    </row>
    <row r="8" spans="1:22" x14ac:dyDescent="0.25">
      <c r="A8" s="136" t="s">
        <v>101</v>
      </c>
      <c r="B8" s="137">
        <v>712.5</v>
      </c>
      <c r="C8" s="137">
        <v>834.2</v>
      </c>
      <c r="D8" s="137">
        <v>879.6</v>
      </c>
    </row>
    <row r="10" spans="1:22" s="139" customFormat="1" ht="34.950000000000003" customHeight="1" x14ac:dyDescent="0.25">
      <c r="A10" s="206" t="s">
        <v>102</v>
      </c>
      <c r="B10" s="208" t="s">
        <v>103</v>
      </c>
      <c r="C10" s="208" t="s">
        <v>104</v>
      </c>
      <c r="D10" s="208" t="s">
        <v>105</v>
      </c>
      <c r="E10" s="210" t="s">
        <v>106</v>
      </c>
      <c r="F10" s="210" t="s">
        <v>107</v>
      </c>
      <c r="G10" s="210"/>
      <c r="H10" s="210"/>
      <c r="I10" s="210" t="s">
        <v>77</v>
      </c>
      <c r="J10" s="212" t="s">
        <v>11</v>
      </c>
      <c r="L10" s="214" t="s">
        <v>108</v>
      </c>
      <c r="M10" s="210"/>
      <c r="N10" s="210"/>
      <c r="O10" s="215" t="s">
        <v>60</v>
      </c>
      <c r="P10" s="217" t="s">
        <v>61</v>
      </c>
      <c r="Q10" s="219" t="s">
        <v>109</v>
      </c>
      <c r="R10" s="217" t="s">
        <v>63</v>
      </c>
      <c r="S10" s="210" t="s">
        <v>64</v>
      </c>
      <c r="T10" s="212" t="s">
        <v>11</v>
      </c>
    </row>
    <row r="11" spans="1:22" s="139" customFormat="1" ht="24.6" customHeight="1" x14ac:dyDescent="0.25">
      <c r="A11" s="207"/>
      <c r="B11" s="209"/>
      <c r="C11" s="209"/>
      <c r="D11" s="209"/>
      <c r="E11" s="211"/>
      <c r="F11" s="140" t="s">
        <v>110</v>
      </c>
      <c r="G11" s="140" t="s">
        <v>111</v>
      </c>
      <c r="H11" s="140" t="s">
        <v>112</v>
      </c>
      <c r="I11" s="211"/>
      <c r="J11" s="213"/>
      <c r="L11" s="141" t="s">
        <v>113</v>
      </c>
      <c r="M11" s="140" t="s">
        <v>111</v>
      </c>
      <c r="N11" s="140" t="s">
        <v>112</v>
      </c>
      <c r="O11" s="216"/>
      <c r="P11" s="218"/>
      <c r="Q11" s="220"/>
      <c r="R11" s="218"/>
      <c r="S11" s="211"/>
      <c r="T11" s="213"/>
    </row>
    <row r="12" spans="1:22" s="142" customFormat="1" ht="13.2" x14ac:dyDescent="0.25">
      <c r="A12" s="143"/>
      <c r="B12" s="144"/>
      <c r="C12" s="144"/>
      <c r="D12" s="144"/>
      <c r="E12" s="145"/>
      <c r="F12" s="145"/>
      <c r="G12" s="145"/>
      <c r="H12" s="145"/>
      <c r="I12" s="145"/>
      <c r="J12" s="146"/>
      <c r="L12" s="143"/>
      <c r="M12" s="145"/>
      <c r="N12" s="145"/>
      <c r="O12" s="147"/>
      <c r="P12" s="148"/>
      <c r="Q12" s="149"/>
      <c r="R12" s="148"/>
      <c r="S12" s="145"/>
      <c r="T12" s="146"/>
    </row>
    <row r="13" spans="1:22" s="142" customFormat="1" ht="13.2" x14ac:dyDescent="0.25">
      <c r="A13" s="150" t="s">
        <v>97</v>
      </c>
      <c r="B13" s="151" t="s">
        <v>114</v>
      </c>
      <c r="C13" s="151">
        <v>4</v>
      </c>
      <c r="D13" s="151">
        <v>2</v>
      </c>
      <c r="E13" s="152">
        <f>1.88*(B3+B4-B8)</f>
        <v>22130.795999999998</v>
      </c>
      <c r="F13" s="152">
        <v>20169.04</v>
      </c>
      <c r="G13" s="152">
        <f t="shared" ref="G13:G15" si="1">16500/12</f>
        <v>1375</v>
      </c>
      <c r="H13" s="152">
        <f t="shared" ref="H13:H15" si="2">2400/12</f>
        <v>200</v>
      </c>
      <c r="I13" s="152">
        <f t="shared" ref="I13:I15" si="3">E13-SUM(F13:H13)</f>
        <v>386.75599999999758</v>
      </c>
      <c r="J13" s="153">
        <f t="shared" ref="J13:J15" si="4">E13/(F13+G13+H13)*100-100</f>
        <v>1.7786759038338715</v>
      </c>
      <c r="L13" s="154">
        <f t="shared" ref="L13:L15" si="5">C13*5000+D13*1800</f>
        <v>23600</v>
      </c>
      <c r="M13" s="152">
        <f t="shared" ref="M13:M15" si="6">16500/12</f>
        <v>1375</v>
      </c>
      <c r="N13" s="152">
        <f t="shared" ref="N13:N15" si="7">2400/12</f>
        <v>200</v>
      </c>
      <c r="O13" s="155">
        <f t="shared" ref="O13:O15" si="8">(L13+M13+N13)*95%*1%</f>
        <v>239.16249999999999</v>
      </c>
      <c r="P13" s="156">
        <f t="shared" ref="P13:P15" si="9">(L13+M13+N13+O13)*10%</f>
        <v>2541.4162500000002</v>
      </c>
      <c r="Q13" s="157">
        <f>(L13+M13+N13+O13+P13)/(B3+B4-B8)</f>
        <v>2.3748123677973445</v>
      </c>
      <c r="R13" s="158">
        <v>1.88</v>
      </c>
      <c r="S13" s="159">
        <f t="shared" ref="S13:S15" si="10">Q13-R13</f>
        <v>0.49481236779734461</v>
      </c>
      <c r="T13" s="153">
        <f t="shared" ref="T13:T15" si="11">Q13/R13*100-100</f>
        <v>26.31980679773109</v>
      </c>
      <c r="V13" s="160"/>
    </row>
    <row r="14" spans="1:22" s="142" customFormat="1" ht="13.2" x14ac:dyDescent="0.25">
      <c r="A14" s="161" t="s">
        <v>98</v>
      </c>
      <c r="B14" s="151" t="s">
        <v>114</v>
      </c>
      <c r="C14" s="162">
        <v>4</v>
      </c>
      <c r="D14" s="162">
        <v>2</v>
      </c>
      <c r="E14" s="163">
        <f>2.05*(C3+C4-C8)</f>
        <v>23898.489999999998</v>
      </c>
      <c r="F14" s="152">
        <v>20169.04</v>
      </c>
      <c r="G14" s="152">
        <f t="shared" si="1"/>
        <v>1375</v>
      </c>
      <c r="H14" s="152">
        <f t="shared" si="2"/>
        <v>200</v>
      </c>
      <c r="I14" s="152">
        <f t="shared" si="3"/>
        <v>2154.4499999999971</v>
      </c>
      <c r="J14" s="153">
        <f t="shared" si="4"/>
        <v>9.908232324811749</v>
      </c>
      <c r="L14" s="154">
        <f t="shared" si="5"/>
        <v>23600</v>
      </c>
      <c r="M14" s="152">
        <f t="shared" si="6"/>
        <v>1375</v>
      </c>
      <c r="N14" s="152">
        <f t="shared" si="7"/>
        <v>200</v>
      </c>
      <c r="O14" s="155">
        <f t="shared" si="8"/>
        <v>239.16249999999999</v>
      </c>
      <c r="P14" s="156">
        <f t="shared" si="9"/>
        <v>2541.4162500000002</v>
      </c>
      <c r="Q14" s="157">
        <f>(L14+M14+N14+O14+P14)/(C3+C4-C8)</f>
        <v>2.3980149556520098</v>
      </c>
      <c r="R14" s="164">
        <v>2.0499999999999998</v>
      </c>
      <c r="S14" s="159">
        <f t="shared" si="10"/>
        <v>0.34801495565201002</v>
      </c>
      <c r="T14" s="153">
        <f t="shared" si="11"/>
        <v>16.976339300098047</v>
      </c>
      <c r="V14" s="160"/>
    </row>
    <row r="15" spans="1:22" s="142" customFormat="1" ht="13.2" x14ac:dyDescent="0.25">
      <c r="A15" s="161" t="s">
        <v>99</v>
      </c>
      <c r="B15" s="151" t="s">
        <v>114</v>
      </c>
      <c r="C15" s="162">
        <v>4</v>
      </c>
      <c r="D15" s="162">
        <v>2</v>
      </c>
      <c r="E15" s="163">
        <f>1.88*(D3+D4-D8)</f>
        <v>21768.143999999997</v>
      </c>
      <c r="F15" s="152">
        <v>20169.04</v>
      </c>
      <c r="G15" s="152">
        <f t="shared" si="1"/>
        <v>1375</v>
      </c>
      <c r="H15" s="152">
        <f t="shared" si="2"/>
        <v>200</v>
      </c>
      <c r="I15" s="152">
        <f t="shared" si="3"/>
        <v>24.103999999995722</v>
      </c>
      <c r="J15" s="153">
        <f t="shared" si="4"/>
        <v>0.11085336487606412</v>
      </c>
      <c r="L15" s="154">
        <f t="shared" si="5"/>
        <v>23600</v>
      </c>
      <c r="M15" s="152">
        <f t="shared" si="6"/>
        <v>1375</v>
      </c>
      <c r="N15" s="152">
        <f t="shared" si="7"/>
        <v>200</v>
      </c>
      <c r="O15" s="155">
        <f t="shared" si="8"/>
        <v>239.16249999999999</v>
      </c>
      <c r="P15" s="156">
        <f t="shared" si="9"/>
        <v>2541.4162500000002</v>
      </c>
      <c r="Q15" s="157">
        <f>(L15+M15+N15+O15+P15)/(D3+D4-D8)</f>
        <v>2.41437616592393</v>
      </c>
      <c r="R15" s="164">
        <v>1.88</v>
      </c>
      <c r="S15" s="159">
        <f t="shared" si="10"/>
        <v>0.53437616592393011</v>
      </c>
      <c r="T15" s="153">
        <f t="shared" si="11"/>
        <v>28.424264144889889</v>
      </c>
      <c r="V15" s="160"/>
    </row>
    <row r="16" spans="1:22" s="142" customFormat="1" ht="13.2" x14ac:dyDescent="0.25">
      <c r="A16" s="165"/>
      <c r="B16" s="166"/>
      <c r="C16" s="166"/>
      <c r="D16" s="166"/>
      <c r="E16" s="167"/>
      <c r="F16" s="167"/>
      <c r="G16" s="167"/>
      <c r="H16" s="167"/>
      <c r="I16" s="167"/>
      <c r="J16" s="168"/>
      <c r="L16" s="169"/>
      <c r="M16" s="167"/>
      <c r="N16" s="167"/>
      <c r="O16" s="170"/>
      <c r="P16" s="171"/>
      <c r="Q16" s="172"/>
      <c r="R16" s="171"/>
      <c r="S16" s="167"/>
      <c r="T16" s="168"/>
    </row>
  </sheetData>
  <mergeCells count="15">
    <mergeCell ref="S10:S11"/>
    <mergeCell ref="T10:T11"/>
    <mergeCell ref="D10:D11"/>
    <mergeCell ref="J10:J11"/>
    <mergeCell ref="L10:N10"/>
    <mergeCell ref="O10:O11"/>
    <mergeCell ref="P10:P11"/>
    <mergeCell ref="Q10:Q11"/>
    <mergeCell ref="R10:R11"/>
    <mergeCell ref="I10:I11"/>
    <mergeCell ref="A10:A11"/>
    <mergeCell ref="B10:B11"/>
    <mergeCell ref="C10:C11"/>
    <mergeCell ref="E10:E11"/>
    <mergeCell ref="F10:H10"/>
  </mergeCells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Тарифы для ОСС_жилые_75-1</vt:lpstr>
      <vt:lpstr>Тарифы для ОСС_жилые_77-1</vt:lpstr>
      <vt:lpstr>Тарифы для ОСС_жилые_77-2</vt:lpstr>
      <vt:lpstr>Тарифы для ОСС_нежилые</vt:lpstr>
      <vt:lpstr>Разъяснения</vt:lpstr>
      <vt:lpstr>Лифты_расходы</vt:lpstr>
      <vt:lpstr>'Тарифы для ОСС_жилые_75-1'!Область_печати</vt:lpstr>
      <vt:lpstr>'Тарифы для ОСС_жилые_77-1'!Область_печати</vt:lpstr>
      <vt:lpstr>'Тарифы для ОСС_жилые_77-2'!Область_печати</vt:lpstr>
      <vt:lpstr>'Тарифы для ОСС_нежилые'!Область_печати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Сентякова Екатерина</dc:creator>
  <cp:lastModifiedBy>Пугаева Дарья</cp:lastModifiedBy>
  <cp:revision>1</cp:revision>
  <dcterms:created xsi:type="dcterms:W3CDTF">2022-06-03T11:17:26Z</dcterms:created>
  <dcterms:modified xsi:type="dcterms:W3CDTF">2022-08-08T06:56:46Z</dcterms:modified>
</cp:coreProperties>
</file>